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llian\Documents\Body Corporate 379336\"/>
    </mc:Choice>
  </mc:AlternateContent>
  <xr:revisionPtr revIDLastSave="0" documentId="13_ncr:1_{58C8FFC6-397A-4352-A401-4546E4BB663E}" xr6:coauthVersionLast="47" xr6:coauthVersionMax="47" xr10:uidLastSave="{00000000-0000-0000-0000-000000000000}"/>
  <bookViews>
    <workbookView xWindow="-120" yWindow="-120" windowWidth="24240" windowHeight="13020" activeTab="2" xr2:uid="{00000000-000D-0000-FFFF-FFFF00000000}"/>
  </bookViews>
  <sheets>
    <sheet name="Financial Statement YE 2025" sheetId="4" r:id="rId1"/>
    <sheet name="Budget 2026" sheetId="8" r:id="rId2"/>
    <sheet name="invoices" sheetId="2" r:id="rId3"/>
  </sheets>
  <calcPr calcId="191029"/>
</workbook>
</file>

<file path=xl/calcChain.xml><?xml version="1.0" encoding="utf-8"?>
<calcChain xmlns="http://schemas.openxmlformats.org/spreadsheetml/2006/main">
  <c r="C4" i="2" l="1"/>
  <c r="C5" i="2"/>
  <c r="C6" i="2"/>
  <c r="C7" i="2"/>
  <c r="C8" i="2"/>
  <c r="C9" i="2"/>
  <c r="C10" i="2"/>
  <c r="C3" i="2"/>
  <c r="H34" i="8"/>
  <c r="H32" i="8"/>
  <c r="H30" i="8"/>
  <c r="H28" i="8"/>
  <c r="H17" i="8"/>
  <c r="N26" i="8"/>
  <c r="N25" i="8"/>
  <c r="O7" i="8"/>
  <c r="O8" i="8"/>
  <c r="O9" i="8"/>
  <c r="O10" i="8"/>
  <c r="O11" i="8"/>
  <c r="O12" i="8"/>
  <c r="O13" i="8"/>
  <c r="O6" i="8"/>
  <c r="F34" i="8"/>
  <c r="D34" i="8"/>
  <c r="B34" i="8"/>
  <c r="F87" i="4"/>
  <c r="F89" i="4"/>
  <c r="C89" i="4"/>
  <c r="C87" i="4"/>
  <c r="F68" i="4"/>
  <c r="D44" i="4"/>
  <c r="C68" i="4"/>
  <c r="F44" i="4"/>
  <c r="F83" i="4" s="1"/>
  <c r="F98" i="4"/>
  <c r="F101" i="4" s="1"/>
  <c r="C98" i="4"/>
  <c r="C101" i="4" s="1"/>
  <c r="C95" i="4"/>
  <c r="F90" i="4"/>
  <c r="C90" i="4"/>
  <c r="F88" i="4"/>
  <c r="C88" i="4"/>
  <c r="F86" i="4"/>
  <c r="C86" i="4"/>
  <c r="D53" i="4"/>
  <c r="D49" i="4"/>
  <c r="F69" i="4" l="1"/>
  <c r="C67" i="4" s="1"/>
  <c r="F91" i="4"/>
  <c r="C91" i="4"/>
  <c r="C83" i="4"/>
  <c r="B6" i="8"/>
  <c r="C15" i="4" l="1"/>
  <c r="D25" i="2"/>
  <c r="T63" i="8"/>
  <c r="B65" i="8"/>
  <c r="F65" i="8" s="1"/>
  <c r="J47" i="8"/>
  <c r="I47" i="8"/>
  <c r="H47" i="8"/>
  <c r="G47" i="8"/>
  <c r="D28" i="8"/>
  <c r="B25" i="8"/>
  <c r="F24" i="8"/>
  <c r="B24" i="8"/>
  <c r="B23" i="8"/>
  <c r="B22" i="8"/>
  <c r="B21" i="8"/>
  <c r="B20" i="8"/>
  <c r="M17" i="8"/>
  <c r="D17" i="8"/>
  <c r="B13" i="8"/>
  <c r="F13" i="8" s="1"/>
  <c r="B12" i="8"/>
  <c r="F12" i="8" s="1"/>
  <c r="B11" i="8"/>
  <c r="F11" i="8" s="1"/>
  <c r="B10" i="8"/>
  <c r="F10" i="8" s="1"/>
  <c r="B9" i="8"/>
  <c r="F9" i="8" s="1"/>
  <c r="B8" i="8"/>
  <c r="F8" i="8" s="1"/>
  <c r="B7" i="8"/>
  <c r="F7" i="8" s="1"/>
  <c r="I5" i="2"/>
  <c r="I9" i="2"/>
  <c r="I10" i="2"/>
  <c r="I4" i="2"/>
  <c r="G65" i="8" l="1"/>
  <c r="H65" i="8" s="1"/>
  <c r="I65" i="8" s="1"/>
  <c r="J65" i="8" s="1"/>
  <c r="F21" i="8"/>
  <c r="F28" i="8" s="1"/>
  <c r="D32" i="8"/>
  <c r="D69" i="4"/>
  <c r="B17" i="8"/>
  <c r="B28" i="8"/>
  <c r="N9" i="8"/>
  <c r="H9" i="8" s="1"/>
  <c r="I9" i="8" s="1"/>
  <c r="G9" i="8"/>
  <c r="N11" i="8"/>
  <c r="H11" i="8" s="1"/>
  <c r="I11" i="8" s="1"/>
  <c r="G11" i="8"/>
  <c r="N10" i="8"/>
  <c r="H10" i="8" s="1"/>
  <c r="I10" i="8" s="1"/>
  <c r="G10" i="8"/>
  <c r="N12" i="8"/>
  <c r="H12" i="8" s="1"/>
  <c r="I12" i="8" s="1"/>
  <c r="G12" i="8"/>
  <c r="N13" i="8"/>
  <c r="H13" i="8" s="1"/>
  <c r="I13" i="8" s="1"/>
  <c r="G13" i="8"/>
  <c r="N7" i="8"/>
  <c r="H7" i="8" s="1"/>
  <c r="I7" i="8" s="1"/>
  <c r="G7" i="8"/>
  <c r="N8" i="8"/>
  <c r="H8" i="8" s="1"/>
  <c r="I8" i="8" s="1"/>
  <c r="G8" i="8"/>
  <c r="F6" i="8"/>
  <c r="D47" i="4"/>
  <c r="B32" i="8" l="1"/>
  <c r="F17" i="8"/>
  <c r="N6" i="8"/>
  <c r="G6" i="8"/>
  <c r="N17" i="8" l="1"/>
  <c r="G17" i="8"/>
  <c r="F32" i="8"/>
  <c r="D13" i="4"/>
  <c r="C81" i="4" s="1"/>
  <c r="F13" i="4"/>
  <c r="F81" i="4" s="1"/>
  <c r="F28" i="4"/>
  <c r="D28" i="4"/>
  <c r="F20" i="4"/>
  <c r="F82" i="4" s="1"/>
  <c r="D20" i="4"/>
  <c r="C82" i="4" s="1"/>
  <c r="F47" i="8" l="1"/>
  <c r="B46" i="8"/>
  <c r="B47" i="8" s="1"/>
  <c r="B49" i="8" s="1"/>
  <c r="O17" i="8"/>
  <c r="O18" i="8" s="1"/>
  <c r="H6" i="8"/>
  <c r="C84" i="4"/>
  <c r="C93" i="4" s="1"/>
  <c r="C96" i="4" s="1"/>
  <c r="F30" i="4"/>
  <c r="F84" i="4" s="1"/>
  <c r="F93" i="4" s="1"/>
  <c r="F96" i="4" s="1"/>
  <c r="I6" i="8" l="1"/>
  <c r="F49" i="8"/>
  <c r="G49" i="8" s="1"/>
  <c r="D30" i="4"/>
  <c r="G55" i="8" l="1"/>
  <c r="G58" i="8"/>
  <c r="G56" i="8"/>
  <c r="G57" i="8"/>
  <c r="G59" i="8"/>
  <c r="G52" i="8"/>
  <c r="H49" i="8"/>
  <c r="I49" i="8" s="1"/>
  <c r="J49" i="8" s="1"/>
  <c r="G54" i="8"/>
  <c r="G53" i="8"/>
  <c r="G13" i="2"/>
  <c r="G60" i="8" l="1"/>
  <c r="F65" i="4"/>
  <c r="D51" i="4" l="1"/>
  <c r="D56" i="4" s="1"/>
  <c r="F51" i="4"/>
  <c r="F56" i="4" s="1"/>
  <c r="F40" i="4"/>
  <c r="D40" i="4"/>
  <c r="D42" i="4" l="1"/>
  <c r="C60" i="4" s="1"/>
  <c r="F42" i="4"/>
  <c r="F60" i="4" s="1"/>
  <c r="D61" i="4" l="1"/>
  <c r="F61" i="4"/>
  <c r="F70" i="4" s="1"/>
  <c r="D65" i="4"/>
  <c r="F4" i="2"/>
  <c r="E4" i="2" s="1"/>
  <c r="F6" i="2"/>
  <c r="C13" i="2"/>
  <c r="F7" i="2"/>
  <c r="F8" i="2"/>
  <c r="F9" i="2"/>
  <c r="K9" i="2" s="1"/>
  <c r="F3" i="2"/>
  <c r="K3" i="2" s="1"/>
  <c r="F10" i="2"/>
  <c r="F5" i="2"/>
  <c r="E5" i="2" s="1"/>
  <c r="D70" i="4" l="1"/>
  <c r="E6" i="2"/>
  <c r="E8" i="2"/>
  <c r="E10" i="2"/>
  <c r="K10" i="2"/>
  <c r="E7" i="2"/>
  <c r="E9" i="2"/>
  <c r="F13" i="2"/>
  <c r="K5" i="2"/>
  <c r="E3" i="2"/>
  <c r="E13" i="2" l="1"/>
  <c r="K4" i="2"/>
  <c r="K6" i="2"/>
  <c r="K7" i="2"/>
  <c r="K8" i="2"/>
  <c r="K13" i="2" s="1"/>
  <c r="I13" i="2"/>
  <c r="H13" i="2"/>
  <c r="K14" i="2" l="1"/>
</calcChain>
</file>

<file path=xl/sharedStrings.xml><?xml version="1.0" encoding="utf-8"?>
<sst xmlns="http://schemas.openxmlformats.org/spreadsheetml/2006/main" count="185" uniqueCount="124">
  <si>
    <t>Body Corporate 379336</t>
  </si>
  <si>
    <t>Assets</t>
  </si>
  <si>
    <t>Total Assets</t>
  </si>
  <si>
    <t>Less Liabilities</t>
  </si>
  <si>
    <t>Gardening</t>
  </si>
  <si>
    <t>BC Secretary</t>
  </si>
  <si>
    <t>Insurance</t>
  </si>
  <si>
    <t>Valuation for insurance</t>
  </si>
  <si>
    <t>Building WOF</t>
  </si>
  <si>
    <t>CCC</t>
  </si>
  <si>
    <t>Unit A</t>
  </si>
  <si>
    <t>Unit B</t>
  </si>
  <si>
    <t>Unit C</t>
  </si>
  <si>
    <t>Unit D</t>
  </si>
  <si>
    <t>Unit E</t>
  </si>
  <si>
    <t>Unit F</t>
  </si>
  <si>
    <t>Unit G</t>
  </si>
  <si>
    <t>Unit H</t>
  </si>
  <si>
    <t>GST</t>
  </si>
  <si>
    <t>Total Income</t>
  </si>
  <si>
    <t>Expenditure</t>
  </si>
  <si>
    <t>Income</t>
  </si>
  <si>
    <t>Total Expenditure</t>
  </si>
  <si>
    <t>Surplus/(Deficit)</t>
  </si>
  <si>
    <t>Gross</t>
  </si>
  <si>
    <t>NET ASSETS</t>
  </si>
  <si>
    <t>Represented by:</t>
  </si>
  <si>
    <t xml:space="preserve">Add to Contingency Fund </t>
  </si>
  <si>
    <t xml:space="preserve">  Plus surplus (first $500)</t>
  </si>
  <si>
    <t>Cheque Account</t>
  </si>
  <si>
    <t>GST refund due</t>
  </si>
  <si>
    <t>Opening</t>
  </si>
  <si>
    <t>Closing</t>
  </si>
  <si>
    <t>increase</t>
  </si>
  <si>
    <t>loss of rent</t>
  </si>
  <si>
    <t>excl</t>
  </si>
  <si>
    <t>Total</t>
  </si>
  <si>
    <t xml:space="preserve">Income </t>
  </si>
  <si>
    <t>BC Levy</t>
  </si>
  <si>
    <t>Loss of Rents Cover excluded</t>
  </si>
  <si>
    <t>Loss of Rents cover excluded</t>
  </si>
  <si>
    <t>Maintenance Budget</t>
  </si>
  <si>
    <t>Carpark surface</t>
  </si>
  <si>
    <t>Carpark marking</t>
  </si>
  <si>
    <t>Fence</t>
  </si>
  <si>
    <t>Funds available</t>
  </si>
  <si>
    <t>Plus expected surplus</t>
  </si>
  <si>
    <t>Business Interruption Insurance</t>
  </si>
  <si>
    <t>Roof Maintenance</t>
  </si>
  <si>
    <t>Roof Maintenance excluded</t>
  </si>
  <si>
    <t>BUDGET</t>
  </si>
  <si>
    <t>Contingency Fund (est)</t>
  </si>
  <si>
    <t>Garden replacement planting</t>
  </si>
  <si>
    <t>Cost Spread</t>
  </si>
  <si>
    <t>Proportions</t>
  </si>
  <si>
    <t>New</t>
  </si>
  <si>
    <t>Levy</t>
  </si>
  <si>
    <t>Available/Shortfall - Accumulative</t>
  </si>
  <si>
    <t>invoice</t>
  </si>
  <si>
    <t>Unit B &amp; C</t>
  </si>
  <si>
    <t xml:space="preserve">Building WOF </t>
  </si>
  <si>
    <t>LTMF contribution</t>
  </si>
  <si>
    <t xml:space="preserve">   Plus surplus (less $500)</t>
  </si>
  <si>
    <t>2025-6</t>
  </si>
  <si>
    <t>2026-7</t>
  </si>
  <si>
    <t>2027-8</t>
  </si>
  <si>
    <t>2028-9</t>
  </si>
  <si>
    <t>Owners input</t>
  </si>
  <si>
    <t>Interest on Term Deposit</t>
  </si>
  <si>
    <t>Interest</t>
  </si>
  <si>
    <t>Budget 2025</t>
  </si>
  <si>
    <t>Creditor</t>
  </si>
  <si>
    <t>Expected save/spend</t>
  </si>
  <si>
    <t>Operating Statement for the year ended 30th November 2025</t>
  </si>
  <si>
    <t>Financial Position as at 30th November 2025</t>
  </si>
  <si>
    <t>Retained Earnings</t>
  </si>
  <si>
    <r>
      <rPr>
        <b/>
        <sz val="10"/>
        <rFont val="Arial"/>
        <family val="2"/>
      </rPr>
      <t xml:space="preserve">Contingency Fund </t>
    </r>
    <r>
      <rPr>
        <sz val="10"/>
        <rFont val="Arial"/>
        <family val="2"/>
      </rPr>
      <t>- opening</t>
    </r>
  </si>
  <si>
    <r>
      <rPr>
        <b/>
        <sz val="10"/>
        <rFont val="Arial"/>
        <family val="2"/>
      </rPr>
      <t>Maintenance Fund</t>
    </r>
    <r>
      <rPr>
        <sz val="10"/>
        <rFont val="Arial"/>
        <family val="2"/>
      </rPr>
      <t xml:space="preserve"> - long term</t>
    </r>
  </si>
  <si>
    <t>Plus this year</t>
  </si>
  <si>
    <t>Budget 2025 - 26</t>
  </si>
  <si>
    <t>Actual 2025</t>
  </si>
  <si>
    <t>Budget 2026</t>
  </si>
  <si>
    <t>due Jan 27</t>
  </si>
  <si>
    <t>plus 7%</t>
  </si>
  <si>
    <t>2029-30</t>
  </si>
  <si>
    <t>2030-1</t>
  </si>
  <si>
    <t>Term Deposits</t>
  </si>
  <si>
    <t>Tax deducted at source</t>
  </si>
  <si>
    <t>Surplus  - available to distribute to Funds</t>
  </si>
  <si>
    <t>Earned Income</t>
  </si>
  <si>
    <t>1.Statement of accounting policies</t>
  </si>
  <si>
    <t>General accounting policies - the measure,emt base adopted is that of historical cost, using accrual accounting to match expenses and revenues.</t>
  </si>
  <si>
    <t>3.Statement of Cash Flows</t>
  </si>
  <si>
    <t>Cash was received from:</t>
  </si>
  <si>
    <t>Levies</t>
  </si>
  <si>
    <t>Cash was applied to:</t>
  </si>
  <si>
    <t>Insurances &amp; associated valuation</t>
  </si>
  <si>
    <t>Grounds maintenance</t>
  </si>
  <si>
    <t>Compliance</t>
  </si>
  <si>
    <t>Administrative fee</t>
  </si>
  <si>
    <t>Net cash flows</t>
  </si>
  <si>
    <t>Opening cash</t>
  </si>
  <si>
    <t>Closing cash</t>
  </si>
  <si>
    <t>TD1 (182 days @ 3.75%) to 16/3/26</t>
  </si>
  <si>
    <t>TD2 (210 days @ 3.45%) to 25/6/26</t>
  </si>
  <si>
    <t>Notes to the Accounts for the year ended 30th November 2025</t>
  </si>
  <si>
    <t>Reporting entity - Body Corporate 379336 is a legal entity made up of all the owners of the 8 units at 33 Foremans Road.   It is governed by the Rules dated 31st January 2007.</t>
  </si>
  <si>
    <t xml:space="preserve">Change in GST </t>
  </si>
  <si>
    <r>
      <t xml:space="preserve">4. Commitments at balance date </t>
    </r>
    <r>
      <rPr>
        <sz val="10"/>
        <rFont val="Arial"/>
        <family val="2"/>
      </rPr>
      <t>- nil (2024, nil)</t>
    </r>
  </si>
  <si>
    <t>Drain flush and clean</t>
  </si>
  <si>
    <t>Option B</t>
  </si>
  <si>
    <t>option B</t>
  </si>
  <si>
    <t>Add to Maintenance Fund Include Retained Earnings</t>
  </si>
  <si>
    <t xml:space="preserve">    </t>
  </si>
  <si>
    <t>Adopted</t>
  </si>
  <si>
    <r>
      <t xml:space="preserve">2.Changes to accounting policies </t>
    </r>
    <r>
      <rPr>
        <sz val="10"/>
        <rFont val="Arial"/>
        <family val="2"/>
      </rPr>
      <t>- nil.</t>
    </r>
  </si>
  <si>
    <t>included</t>
  </si>
  <si>
    <t>Antrone Holdings Ltd</t>
  </si>
  <si>
    <t>Doolyttle &amp; Sons</t>
  </si>
  <si>
    <t>Appleton Estate Ltd</t>
  </si>
  <si>
    <t>F&amp;R Property Ltd</t>
  </si>
  <si>
    <t>Leadbetter Investments Ltd</t>
  </si>
  <si>
    <t>CR King &amp; Hagley Trustees Ltd</t>
  </si>
  <si>
    <t>Ian and Susan Gilmore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</si>
</sst>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0.0%"/>
    <numFmt numFmtId="165" formatCode="#,##0.00;\(#,##0.00\)"/>
    <numFmt numFmtId="166" formatCode="_-* #,##0.0000_-;\-* #,##0.0000_-;_-* &quot;-&quot;??_-;_-@_-"/>
    <numFmt numFmtId="167" formatCode="#,##0.00;[Red]\(#,##0.00\)"/>
    <numFmt numFmtId="168" formatCode="_-* #,##0_-;\-* #,##0_-;_-* &quot;-&quot;??_-;_-@_-"/>
    <numFmt numFmtId="169" formatCode="#,##0;\(#,##0\)"/>
    <numFmt numFmtId="170" formatCode="&quot;$&quot;#,##0.0000;[Red]\-&quot;$&quot;#,##0.0000"/>
  </numFmts>
  <fonts count="1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i/>
      <sz val="10"/>
      <name val="Arial"/>
      <family val="2"/>
    </font>
    <font>
      <i/>
      <u val="singleAccounting"/>
      <sz val="10"/>
      <name val="Arial"/>
      <family val="2"/>
    </font>
    <font>
      <b/>
      <sz val="10"/>
      <color rgb="FFFF0000"/>
      <name val="Arial"/>
      <family val="2"/>
    </font>
    <font>
      <b/>
      <i/>
      <u val="singleAccounting"/>
      <sz val="10"/>
      <name val="Arial"/>
      <family val="2"/>
    </font>
    <font>
      <i/>
      <u/>
      <sz val="12"/>
      <name val="Arial"/>
      <family val="2"/>
    </font>
    <font>
      <sz val="14"/>
      <name val="Arial"/>
      <family val="2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9">
    <xf numFmtId="0" fontId="0" fillId="0" borderId="0" xfId="0"/>
    <xf numFmtId="43" fontId="0" fillId="0" borderId="0" xfId="1" applyFont="1"/>
    <xf numFmtId="43" fontId="0" fillId="0" borderId="1" xfId="1" applyFont="1" applyBorder="1"/>
    <xf numFmtId="43" fontId="2" fillId="0" borderId="0" xfId="1" applyFont="1"/>
    <xf numFmtId="0" fontId="2" fillId="0" borderId="0" xfId="0" applyFont="1"/>
    <xf numFmtId="43" fontId="0" fillId="0" borderId="0" xfId="0" applyNumberFormat="1"/>
    <xf numFmtId="0" fontId="4" fillId="0" borderId="0" xfId="0" applyFont="1"/>
    <xf numFmtId="0" fontId="5" fillId="0" borderId="0" xfId="0" applyFont="1"/>
    <xf numFmtId="43" fontId="2" fillId="0" borderId="0" xfId="0" applyNumberFormat="1" applyFont="1"/>
    <xf numFmtId="43" fontId="2" fillId="0" borderId="2" xfId="0" applyNumberFormat="1" applyFont="1" applyBorder="1"/>
    <xf numFmtId="43" fontId="2" fillId="0" borderId="1" xfId="1" applyFont="1" applyBorder="1"/>
    <xf numFmtId="43" fontId="2" fillId="0" borderId="4" xfId="1" applyFont="1" applyBorder="1"/>
    <xf numFmtId="43" fontId="2" fillId="0" borderId="4" xfId="0" applyNumberFormat="1" applyFont="1" applyBorder="1"/>
    <xf numFmtId="0" fontId="1" fillId="0" borderId="0" xfId="0" applyFont="1"/>
    <xf numFmtId="43" fontId="1" fillId="0" borderId="0" xfId="1" applyFont="1"/>
    <xf numFmtId="43" fontId="0" fillId="0" borderId="0" xfId="1" applyFont="1" applyFill="1"/>
    <xf numFmtId="0" fontId="2" fillId="0" borderId="0" xfId="0" applyFont="1" applyAlignment="1">
      <alignment horizontal="center"/>
    </xf>
    <xf numFmtId="43" fontId="2" fillId="0" borderId="0" xfId="1" applyFont="1" applyFill="1"/>
    <xf numFmtId="43" fontId="0" fillId="0" borderId="1" xfId="1" applyFont="1" applyFill="1" applyBorder="1"/>
    <xf numFmtId="43" fontId="2" fillId="0" borderId="0" xfId="1" applyFont="1" applyFill="1" applyBorder="1"/>
    <xf numFmtId="43" fontId="0" fillId="0" borderId="0" xfId="1" applyFont="1" applyFill="1" applyBorder="1"/>
    <xf numFmtId="0" fontId="7" fillId="0" borderId="0" xfId="0" applyFont="1" applyAlignment="1">
      <alignment horizontal="center"/>
    </xf>
    <xf numFmtId="43" fontId="0" fillId="0" borderId="0" xfId="1" applyFont="1" applyBorder="1"/>
    <xf numFmtId="43" fontId="6" fillId="0" borderId="0" xfId="1" applyFont="1" applyBorder="1"/>
    <xf numFmtId="43" fontId="6" fillId="0" borderId="0" xfId="0" applyNumberFormat="1" applyFont="1"/>
    <xf numFmtId="165" fontId="6" fillId="0" borderId="0" xfId="1" applyNumberFormat="1" applyFont="1" applyBorder="1"/>
    <xf numFmtId="43" fontId="2" fillId="0" borderId="7" xfId="0" applyNumberFormat="1" applyFont="1" applyBorder="1"/>
    <xf numFmtId="0" fontId="2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43" fontId="2" fillId="0" borderId="0" xfId="1" applyFont="1" applyBorder="1"/>
    <xf numFmtId="43" fontId="1" fillId="0" borderId="0" xfId="0" applyNumberFormat="1" applyFont="1"/>
    <xf numFmtId="43" fontId="1" fillId="0" borderId="2" xfId="0" applyNumberFormat="1" applyFont="1" applyBorder="1"/>
    <xf numFmtId="43" fontId="1" fillId="0" borderId="1" xfId="1" applyFont="1" applyFill="1" applyBorder="1"/>
    <xf numFmtId="166" fontId="0" fillId="0" borderId="0" xfId="1" applyNumberFormat="1" applyFont="1" applyFill="1" applyBorder="1"/>
    <xf numFmtId="167" fontId="0" fillId="0" borderId="0" xfId="0" applyNumberFormat="1"/>
    <xf numFmtId="165" fontId="1" fillId="0" borderId="7" xfId="1" applyNumberFormat="1" applyFont="1" applyBorder="1"/>
    <xf numFmtId="43" fontId="1" fillId="0" borderId="0" xfId="1" applyFont="1" applyBorder="1"/>
    <xf numFmtId="43" fontId="1" fillId="0" borderId="1" xfId="1" applyFont="1" applyBorder="1"/>
    <xf numFmtId="43" fontId="1" fillId="0" borderId="4" xfId="1" applyFont="1" applyBorder="1"/>
    <xf numFmtId="43" fontId="1" fillId="0" borderId="4" xfId="0" applyNumberFormat="1" applyFont="1" applyBorder="1"/>
    <xf numFmtId="164" fontId="0" fillId="0" borderId="0" xfId="2" applyNumberFormat="1" applyFont="1" applyBorder="1"/>
    <xf numFmtId="164" fontId="7" fillId="0" borderId="0" xfId="2" applyNumberFormat="1" applyFont="1" applyFill="1" applyBorder="1" applyAlignment="1">
      <alignment horizontal="center"/>
    </xf>
    <xf numFmtId="164" fontId="0" fillId="0" borderId="0" xfId="2" applyNumberFormat="1" applyFont="1" applyFill="1" applyBorder="1" applyAlignment="1">
      <alignment horizontal="center"/>
    </xf>
    <xf numFmtId="164" fontId="0" fillId="0" borderId="0" xfId="2" applyNumberFormat="1" applyFont="1" applyFill="1" applyBorder="1"/>
    <xf numFmtId="164" fontId="1" fillId="0" borderId="0" xfId="2" applyNumberFormat="1" applyFont="1" applyFill="1" applyBorder="1"/>
    <xf numFmtId="165" fontId="1" fillId="0" borderId="0" xfId="1" applyNumberFormat="1" applyFont="1" applyBorder="1"/>
    <xf numFmtId="164" fontId="2" fillId="0" borderId="0" xfId="2" applyNumberFormat="1" applyFont="1" applyFill="1" applyBorder="1"/>
    <xf numFmtId="43" fontId="1" fillId="0" borderId="0" xfId="1" applyFont="1" applyFill="1"/>
    <xf numFmtId="43" fontId="6" fillId="0" borderId="2" xfId="0" applyNumberFormat="1" applyFont="1" applyBorder="1"/>
    <xf numFmtId="43" fontId="0" fillId="0" borderId="2" xfId="0" applyNumberFormat="1" applyBorder="1"/>
    <xf numFmtId="0" fontId="8" fillId="0" borderId="6" xfId="0" applyFont="1" applyBorder="1"/>
    <xf numFmtId="168" fontId="0" fillId="0" borderId="0" xfId="0" applyNumberFormat="1"/>
    <xf numFmtId="43" fontId="1" fillId="0" borderId="0" xfId="1" applyFont="1" applyFill="1" applyBorder="1"/>
    <xf numFmtId="43" fontId="1" fillId="0" borderId="1" xfId="0" applyNumberFormat="1" applyFont="1" applyBorder="1"/>
    <xf numFmtId="168" fontId="0" fillId="0" borderId="1" xfId="1" applyNumberFormat="1" applyFont="1" applyFill="1" applyBorder="1"/>
    <xf numFmtId="0" fontId="2" fillId="0" borderId="1" xfId="0" applyFont="1" applyBorder="1"/>
    <xf numFmtId="43" fontId="0" fillId="0" borderId="8" xfId="1" applyFont="1" applyFill="1" applyBorder="1"/>
    <xf numFmtId="168" fontId="2" fillId="0" borderId="0" xfId="0" applyNumberFormat="1" applyFont="1"/>
    <xf numFmtId="10" fontId="0" fillId="0" borderId="0" xfId="2" applyNumberFormat="1" applyFont="1" applyFill="1" applyBorder="1" applyAlignment="1">
      <alignment horizontal="right"/>
    </xf>
    <xf numFmtId="167" fontId="2" fillId="0" borderId="0" xfId="1" applyNumberFormat="1" applyFont="1" applyFill="1" applyBorder="1"/>
    <xf numFmtId="164" fontId="5" fillId="0" borderId="0" xfId="2" applyNumberFormat="1" applyFont="1" applyFill="1" applyBorder="1" applyAlignment="1">
      <alignment horizontal="center"/>
    </xf>
    <xf numFmtId="170" fontId="0" fillId="0" borderId="0" xfId="0" applyNumberFormat="1"/>
    <xf numFmtId="169" fontId="0" fillId="0" borderId="0" xfId="1" applyNumberFormat="1" applyFont="1" applyFill="1"/>
    <xf numFmtId="0" fontId="5" fillId="0" borderId="0" xfId="0" applyFont="1" applyAlignment="1">
      <alignment horizontal="center"/>
    </xf>
    <xf numFmtId="43" fontId="0" fillId="0" borderId="1" xfId="0" applyNumberFormat="1" applyBorder="1"/>
    <xf numFmtId="43" fontId="2" fillId="2" borderId="0" xfId="1" applyFont="1" applyFill="1"/>
    <xf numFmtId="168" fontId="9" fillId="0" borderId="0" xfId="1" applyNumberFormat="1" applyFont="1" applyFill="1"/>
    <xf numFmtId="164" fontId="0" fillId="0" borderId="0" xfId="2" applyNumberFormat="1" applyFont="1" applyFill="1" applyBorder="1" applyAlignment="1">
      <alignment horizontal="left"/>
    </xf>
    <xf numFmtId="169" fontId="2" fillId="0" borderId="0" xfId="1" applyNumberFormat="1" applyFont="1" applyFill="1"/>
    <xf numFmtId="168" fontId="1" fillId="0" borderId="0" xfId="0" applyNumberFormat="1" applyFont="1"/>
    <xf numFmtId="0" fontId="10" fillId="0" borderId="0" xfId="0" applyFont="1"/>
    <xf numFmtId="168" fontId="11" fillId="0" borderId="0" xfId="1" applyNumberFormat="1" applyFont="1" applyFill="1"/>
    <xf numFmtId="168" fontId="2" fillId="0" borderId="1" xfId="0" applyNumberFormat="1" applyFont="1" applyBorder="1"/>
    <xf numFmtId="43" fontId="6" fillId="3" borderId="2" xfId="0" applyNumberFormat="1" applyFont="1" applyFill="1" applyBorder="1"/>
    <xf numFmtId="0" fontId="13" fillId="0" borderId="0" xfId="0" applyFont="1"/>
    <xf numFmtId="43" fontId="13" fillId="0" borderId="0" xfId="1" applyFont="1"/>
    <xf numFmtId="43" fontId="14" fillId="0" borderId="0" xfId="1" applyFont="1"/>
    <xf numFmtId="43" fontId="13" fillId="0" borderId="0" xfId="1" applyFont="1" applyFill="1"/>
    <xf numFmtId="43" fontId="13" fillId="0" borderId="0" xfId="0" applyNumberFormat="1" applyFont="1"/>
    <xf numFmtId="43" fontId="14" fillId="0" borderId="0" xfId="1" applyFont="1" applyFill="1"/>
    <xf numFmtId="43" fontId="2" fillId="0" borderId="1" xfId="1" applyFont="1" applyFill="1" applyBorder="1"/>
    <xf numFmtId="164" fontId="1" fillId="0" borderId="0" xfId="2" applyNumberFormat="1" applyFont="1" applyBorder="1"/>
    <xf numFmtId="0" fontId="0" fillId="0" borderId="0" xfId="0" applyAlignment="1">
      <alignment horizontal="center"/>
    </xf>
    <xf numFmtId="43" fontId="13" fillId="4" borderId="0" xfId="1" applyFont="1" applyFill="1"/>
    <xf numFmtId="165" fontId="2" fillId="0" borderId="0" xfId="1" applyNumberFormat="1" applyFont="1"/>
    <xf numFmtId="0" fontId="1" fillId="0" borderId="0" xfId="0" applyFont="1" applyAlignment="1">
      <alignment horizontal="center"/>
    </xf>
    <xf numFmtId="0" fontId="0" fillId="0" borderId="0" xfId="0" applyAlignment="1">
      <alignment wrapText="1"/>
    </xf>
    <xf numFmtId="165" fontId="0" fillId="0" borderId="0" xfId="0" applyNumberFormat="1"/>
    <xf numFmtId="9" fontId="0" fillId="0" borderId="0" xfId="2" applyFont="1"/>
    <xf numFmtId="0" fontId="8" fillId="0" borderId="5" xfId="0" applyFont="1" applyBorder="1" applyAlignment="1">
      <alignment wrapText="1"/>
    </xf>
    <xf numFmtId="164" fontId="0" fillId="0" borderId="0" xfId="2" applyNumberFormat="1" applyFont="1" applyFill="1" applyBorder="1" applyAlignment="1">
      <alignment wrapText="1"/>
    </xf>
    <xf numFmtId="43" fontId="0" fillId="0" borderId="0" xfId="0" applyNumberFormat="1" applyAlignment="1">
      <alignment wrapText="1"/>
    </xf>
    <xf numFmtId="43" fontId="1" fillId="0" borderId="3" xfId="1" applyFont="1" applyFill="1" applyBorder="1" applyAlignment="1">
      <alignment vertical="top" wrapText="1"/>
    </xf>
    <xf numFmtId="43" fontId="0" fillId="0" borderId="3" xfId="1" applyFont="1" applyFill="1" applyBorder="1" applyAlignment="1">
      <alignment vertical="top" wrapText="1"/>
    </xf>
    <xf numFmtId="164" fontId="2" fillId="0" borderId="0" xfId="2" applyNumberFormat="1" applyFont="1" applyBorder="1"/>
    <xf numFmtId="164" fontId="12" fillId="0" borderId="0" xfId="2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 vertical="top" wrapText="1"/>
    </xf>
    <xf numFmtId="0" fontId="13" fillId="0" borderId="0" xfId="0" applyFont="1" applyFill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3"/>
  <sheetViews>
    <sheetView topLeftCell="A74" zoomScale="130" zoomScaleNormal="130" workbookViewId="0">
      <selection activeCell="A80" sqref="A80"/>
    </sheetView>
  </sheetViews>
  <sheetFormatPr defaultRowHeight="12.75" x14ac:dyDescent="0.2"/>
  <cols>
    <col min="1" max="1" width="27.28515625" customWidth="1"/>
    <col min="2" max="2" width="29.7109375" customWidth="1"/>
    <col min="3" max="3" width="13" customWidth="1"/>
    <col min="4" max="4" width="10.7109375" customWidth="1"/>
    <col min="5" max="5" width="4" customWidth="1"/>
    <col min="6" max="6" width="10.7109375" style="13" customWidth="1"/>
    <col min="7" max="8" width="12.28515625" customWidth="1"/>
  </cols>
  <sheetData>
    <row r="1" spans="1:8" ht="15.75" x14ac:dyDescent="0.25">
      <c r="A1" s="96" t="s">
        <v>0</v>
      </c>
      <c r="B1" s="96"/>
      <c r="C1" s="96"/>
      <c r="D1" s="96"/>
      <c r="E1" s="96"/>
      <c r="F1" s="96"/>
    </row>
    <row r="2" spans="1:8" ht="15.75" x14ac:dyDescent="0.25">
      <c r="A2" s="6"/>
    </row>
    <row r="3" spans="1:8" s="13" customFormat="1" x14ac:dyDescent="0.2">
      <c r="A3" s="7" t="s">
        <v>73</v>
      </c>
    </row>
    <row r="4" spans="1:8" x14ac:dyDescent="0.2">
      <c r="A4" s="4" t="s">
        <v>37</v>
      </c>
      <c r="D4" s="63">
        <v>2025</v>
      </c>
      <c r="E4" s="27"/>
      <c r="F4" s="21">
        <v>2024</v>
      </c>
    </row>
    <row r="5" spans="1:8" x14ac:dyDescent="0.2">
      <c r="A5" t="s">
        <v>38</v>
      </c>
      <c r="B5" t="s">
        <v>10</v>
      </c>
      <c r="C5" s="1">
        <v>7060.0309999999999</v>
      </c>
      <c r="E5" s="8"/>
      <c r="F5" s="20">
        <v>6418.21</v>
      </c>
      <c r="G5" s="20"/>
    </row>
    <row r="6" spans="1:8" x14ac:dyDescent="0.2">
      <c r="B6" t="s">
        <v>11</v>
      </c>
      <c r="C6" s="1">
        <v>7060.0309999999999</v>
      </c>
      <c r="E6" s="8"/>
      <c r="F6" s="20">
        <v>6418.21</v>
      </c>
      <c r="G6" s="20"/>
    </row>
    <row r="7" spans="1:8" x14ac:dyDescent="0.2">
      <c r="B7" t="s">
        <v>12</v>
      </c>
      <c r="C7" s="1">
        <v>6081.1189999999997</v>
      </c>
      <c r="E7" s="8"/>
      <c r="F7" s="20">
        <v>5528.29</v>
      </c>
      <c r="G7" s="20"/>
    </row>
    <row r="8" spans="1:8" x14ac:dyDescent="0.2">
      <c r="B8" t="s">
        <v>13</v>
      </c>
      <c r="C8" s="1">
        <v>4518.8110000000006</v>
      </c>
      <c r="E8" s="8"/>
      <c r="F8" s="20">
        <v>4108.01</v>
      </c>
      <c r="G8" s="20"/>
    </row>
    <row r="9" spans="1:8" x14ac:dyDescent="0.2">
      <c r="B9" t="s">
        <v>14</v>
      </c>
      <c r="C9" s="1">
        <v>4518.8110000000006</v>
      </c>
      <c r="E9" s="8"/>
      <c r="F9" s="20">
        <v>4108.01</v>
      </c>
      <c r="G9" s="20"/>
    </row>
    <row r="10" spans="1:8" x14ac:dyDescent="0.2">
      <c r="B10" t="s">
        <v>15</v>
      </c>
      <c r="C10" s="1">
        <v>6081.1189999999997</v>
      </c>
      <c r="E10" s="8"/>
      <c r="F10" s="20">
        <v>5528.29</v>
      </c>
      <c r="G10" s="20"/>
    </row>
    <row r="11" spans="1:8" x14ac:dyDescent="0.2">
      <c r="B11" t="s">
        <v>16</v>
      </c>
      <c r="C11" s="1">
        <v>7060.0309999999999</v>
      </c>
      <c r="E11" s="8"/>
      <c r="F11" s="20">
        <v>6418.21</v>
      </c>
      <c r="G11" s="20"/>
    </row>
    <row r="12" spans="1:8" x14ac:dyDescent="0.2">
      <c r="B12" t="s">
        <v>17</v>
      </c>
      <c r="C12" s="1">
        <v>7060.0309999999999</v>
      </c>
      <c r="E12" s="8"/>
      <c r="F12" s="32">
        <v>6418.21</v>
      </c>
      <c r="G12" s="20"/>
    </row>
    <row r="13" spans="1:8" x14ac:dyDescent="0.2">
      <c r="C13" s="52"/>
      <c r="D13" s="5">
        <f>SUM(C5:C12)</f>
        <v>49439.984000000011</v>
      </c>
      <c r="E13" s="8"/>
      <c r="F13" s="20">
        <f>SUM(F5:F12)</f>
        <v>44945.440000000002</v>
      </c>
      <c r="G13" s="20"/>
    </row>
    <row r="14" spans="1:8" x14ac:dyDescent="0.2">
      <c r="D14" s="8"/>
      <c r="E14" s="8"/>
      <c r="F14" s="8"/>
      <c r="G14" s="20"/>
      <c r="H14" s="20"/>
    </row>
    <row r="15" spans="1:8" x14ac:dyDescent="0.2">
      <c r="A15" t="s">
        <v>47</v>
      </c>
      <c r="B15" t="s">
        <v>59</v>
      </c>
      <c r="C15" s="15">
        <f>494.53+411.36</f>
        <v>905.89</v>
      </c>
      <c r="E15" s="8"/>
      <c r="F15" s="15">
        <v>925.93</v>
      </c>
      <c r="G15" s="20"/>
      <c r="H15" s="20"/>
    </row>
    <row r="16" spans="1:8" hidden="1" x14ac:dyDescent="0.2">
      <c r="B16" t="s">
        <v>13</v>
      </c>
      <c r="C16" s="1"/>
      <c r="E16" s="8"/>
      <c r="F16" s="1"/>
      <c r="G16" s="20"/>
      <c r="H16" s="20"/>
    </row>
    <row r="17" spans="1:8" hidden="1" x14ac:dyDescent="0.2">
      <c r="B17" t="s">
        <v>15</v>
      </c>
      <c r="C17" s="1"/>
      <c r="E17" s="8"/>
      <c r="F17" s="1"/>
      <c r="G17" s="20"/>
      <c r="H17" s="20"/>
    </row>
    <row r="18" spans="1:8" x14ac:dyDescent="0.2">
      <c r="B18" t="s">
        <v>16</v>
      </c>
      <c r="C18" s="1">
        <v>354.4</v>
      </c>
      <c r="E18" s="8"/>
      <c r="F18" s="1">
        <v>353.82</v>
      </c>
      <c r="G18" s="20"/>
      <c r="H18" s="20"/>
    </row>
    <row r="19" spans="1:8" x14ac:dyDescent="0.2">
      <c r="B19" t="s">
        <v>17</v>
      </c>
      <c r="C19" s="2">
        <v>339.73</v>
      </c>
      <c r="D19" s="5"/>
      <c r="E19" s="8"/>
      <c r="F19" s="2">
        <v>337.85</v>
      </c>
      <c r="G19" s="20"/>
      <c r="H19" s="20"/>
    </row>
    <row r="20" spans="1:8" x14ac:dyDescent="0.2">
      <c r="C20" s="30"/>
      <c r="D20" s="5">
        <f>SUM(C15:C19)</f>
        <v>1600.02</v>
      </c>
      <c r="E20" s="8"/>
      <c r="F20" s="30">
        <f>SUM(F15:F19)</f>
        <v>1617.6</v>
      </c>
      <c r="G20" s="20"/>
      <c r="H20" s="20"/>
    </row>
    <row r="21" spans="1:8" hidden="1" x14ac:dyDescent="0.2">
      <c r="A21" s="13" t="s">
        <v>48</v>
      </c>
      <c r="B21" t="s">
        <v>10</v>
      </c>
      <c r="C21" s="30">
        <v>0</v>
      </c>
      <c r="E21" s="8"/>
      <c r="F21" s="30">
        <v>0</v>
      </c>
      <c r="G21" s="20"/>
      <c r="H21" s="20"/>
    </row>
    <row r="22" spans="1:8" hidden="1" x14ac:dyDescent="0.2">
      <c r="B22" t="s">
        <v>59</v>
      </c>
      <c r="C22" s="30">
        <v>0</v>
      </c>
      <c r="E22" s="8"/>
      <c r="F22" s="30">
        <v>0</v>
      </c>
      <c r="G22" s="20"/>
      <c r="H22" s="20"/>
    </row>
    <row r="23" spans="1:8" hidden="1" x14ac:dyDescent="0.2">
      <c r="B23" t="s">
        <v>13</v>
      </c>
      <c r="C23" s="30"/>
      <c r="E23" s="8"/>
      <c r="F23" s="30"/>
      <c r="G23" s="20"/>
      <c r="H23" s="20"/>
    </row>
    <row r="24" spans="1:8" hidden="1" x14ac:dyDescent="0.2">
      <c r="B24" t="s">
        <v>14</v>
      </c>
      <c r="C24" s="30"/>
      <c r="E24" s="8"/>
      <c r="F24" s="30"/>
      <c r="G24" s="20"/>
      <c r="H24" s="20"/>
    </row>
    <row r="25" spans="1:8" hidden="1" x14ac:dyDescent="0.2">
      <c r="B25" t="s">
        <v>15</v>
      </c>
      <c r="C25" s="30"/>
      <c r="E25" s="8"/>
      <c r="F25" s="30"/>
      <c r="G25" s="20"/>
      <c r="H25" s="20"/>
    </row>
    <row r="26" spans="1:8" hidden="1" x14ac:dyDescent="0.2">
      <c r="B26" t="s">
        <v>16</v>
      </c>
      <c r="C26" s="53">
        <v>0</v>
      </c>
      <c r="E26" s="8"/>
      <c r="F26" s="53">
        <v>0</v>
      </c>
      <c r="G26" s="20"/>
      <c r="H26" s="20"/>
    </row>
    <row r="27" spans="1:8" hidden="1" x14ac:dyDescent="0.2">
      <c r="B27" t="s">
        <v>17</v>
      </c>
      <c r="C27" s="53">
        <v>0</v>
      </c>
      <c r="D27" s="5"/>
      <c r="E27" s="8"/>
      <c r="F27" s="53">
        <v>0</v>
      </c>
      <c r="G27" s="20"/>
      <c r="H27" s="20"/>
    </row>
    <row r="28" spans="1:8" hidden="1" x14ac:dyDescent="0.2">
      <c r="C28" s="30"/>
      <c r="D28" s="5">
        <f>SUM(C21:C27)</f>
        <v>0</v>
      </c>
      <c r="E28" s="8"/>
      <c r="F28" s="30">
        <f>SUM(F21:F27)</f>
        <v>0</v>
      </c>
      <c r="G28" s="20"/>
      <c r="H28" s="20"/>
    </row>
    <row r="29" spans="1:8" x14ac:dyDescent="0.2">
      <c r="B29" s="13"/>
      <c r="D29" s="30"/>
      <c r="E29" s="8"/>
      <c r="F29" s="30"/>
      <c r="G29" s="20"/>
      <c r="H29" s="20"/>
    </row>
    <row r="30" spans="1:8" x14ac:dyDescent="0.2">
      <c r="A30" s="4" t="s">
        <v>19</v>
      </c>
      <c r="C30" s="4"/>
      <c r="D30" s="9">
        <f>SUM(D5:D29)</f>
        <v>51040.004000000008</v>
      </c>
      <c r="E30" s="8"/>
      <c r="F30" s="31">
        <f>+F13+F20</f>
        <v>46563.040000000001</v>
      </c>
      <c r="G30" s="24"/>
      <c r="H30" s="20"/>
    </row>
    <row r="31" spans="1:8" x14ac:dyDescent="0.2">
      <c r="F31" s="14"/>
      <c r="G31" s="22"/>
      <c r="H31" s="20"/>
    </row>
    <row r="32" spans="1:8" x14ac:dyDescent="0.2">
      <c r="A32" s="4" t="s">
        <v>20</v>
      </c>
      <c r="B32" t="s">
        <v>5</v>
      </c>
      <c r="D32" s="3">
        <v>1800</v>
      </c>
      <c r="E32" s="19"/>
      <c r="F32" s="14">
        <v>1800</v>
      </c>
      <c r="G32" s="22"/>
      <c r="H32" s="20"/>
    </row>
    <row r="33" spans="1:9" x14ac:dyDescent="0.2">
      <c r="B33" t="s">
        <v>6</v>
      </c>
      <c r="D33" s="3">
        <v>32385.18</v>
      </c>
      <c r="E33" s="19"/>
      <c r="F33" s="14">
        <v>32854.559999999998</v>
      </c>
      <c r="G33" s="22"/>
      <c r="H33" s="20"/>
    </row>
    <row r="34" spans="1:9" x14ac:dyDescent="0.2">
      <c r="B34" t="s">
        <v>47</v>
      </c>
      <c r="D34" s="3">
        <v>1600</v>
      </c>
      <c r="E34" s="19"/>
      <c r="F34" s="14">
        <v>1617.6</v>
      </c>
      <c r="G34" s="22"/>
      <c r="H34" s="20"/>
    </row>
    <row r="35" spans="1:9" hidden="1" x14ac:dyDescent="0.2">
      <c r="B35" s="13" t="s">
        <v>48</v>
      </c>
      <c r="D35" s="3">
        <v>0</v>
      </c>
      <c r="E35" s="19"/>
      <c r="F35" s="14">
        <v>0</v>
      </c>
      <c r="G35" s="22"/>
      <c r="H35" s="20"/>
    </row>
    <row r="36" spans="1:9" x14ac:dyDescent="0.2">
      <c r="B36" t="s">
        <v>7</v>
      </c>
      <c r="D36" s="3">
        <v>1250</v>
      </c>
      <c r="E36" s="19"/>
      <c r="F36" s="14">
        <v>0</v>
      </c>
      <c r="G36" s="22"/>
      <c r="H36" s="20"/>
    </row>
    <row r="37" spans="1:9" x14ac:dyDescent="0.2">
      <c r="B37" t="s">
        <v>4</v>
      </c>
      <c r="D37" s="17">
        <v>962.63</v>
      </c>
      <c r="E37" s="19"/>
      <c r="F37" s="47">
        <v>522.62</v>
      </c>
      <c r="G37" s="22"/>
      <c r="H37" s="20"/>
    </row>
    <row r="38" spans="1:9" x14ac:dyDescent="0.2">
      <c r="B38" t="s">
        <v>60</v>
      </c>
      <c r="D38" s="17">
        <v>368.62</v>
      </c>
      <c r="E38" s="19"/>
      <c r="F38" s="47">
        <v>351.41</v>
      </c>
      <c r="G38" s="22"/>
      <c r="H38" s="20"/>
    </row>
    <row r="39" spans="1:9" x14ac:dyDescent="0.2">
      <c r="B39" t="s">
        <v>9</v>
      </c>
      <c r="D39" s="3">
        <v>108.7</v>
      </c>
      <c r="E39" s="19"/>
      <c r="F39" s="14">
        <v>108.7</v>
      </c>
      <c r="G39" s="22"/>
      <c r="H39" s="20"/>
    </row>
    <row r="40" spans="1:9" x14ac:dyDescent="0.2">
      <c r="A40" s="4" t="s">
        <v>22</v>
      </c>
      <c r="C40" s="4"/>
      <c r="D40" s="9">
        <f>SUM(D32:D39)</f>
        <v>38475.129999999997</v>
      </c>
      <c r="E40" s="8"/>
      <c r="F40" s="31">
        <f>SUM(F32:F39)</f>
        <v>37254.89</v>
      </c>
      <c r="G40" s="5"/>
      <c r="H40" s="20"/>
    </row>
    <row r="41" spans="1:9" x14ac:dyDescent="0.2">
      <c r="A41" s="4"/>
      <c r="C41" s="4"/>
      <c r="D41" s="8"/>
      <c r="E41" s="8"/>
      <c r="F41" s="30"/>
      <c r="G41" s="5"/>
      <c r="H41" s="20"/>
    </row>
    <row r="42" spans="1:9" ht="13.5" thickBot="1" x14ac:dyDescent="0.25">
      <c r="A42" s="4" t="s">
        <v>88</v>
      </c>
      <c r="C42" s="7"/>
      <c r="D42" s="26">
        <f>+D30-D40</f>
        <v>12564.874000000011</v>
      </c>
      <c r="E42" s="8"/>
      <c r="F42" s="35">
        <f>+F30-F40</f>
        <v>9308.1500000000015</v>
      </c>
      <c r="G42" s="25"/>
      <c r="H42" s="20"/>
    </row>
    <row r="43" spans="1:9" ht="13.5" thickTop="1" x14ac:dyDescent="0.2">
      <c r="A43" s="4"/>
      <c r="C43" s="7"/>
      <c r="D43" s="8"/>
      <c r="E43" s="8"/>
      <c r="F43" s="45"/>
      <c r="G43" s="25"/>
      <c r="H43" s="20"/>
    </row>
    <row r="44" spans="1:9" ht="13.5" thickBot="1" x14ac:dyDescent="0.25">
      <c r="A44" s="4" t="s">
        <v>89</v>
      </c>
      <c r="B44" s="13" t="s">
        <v>68</v>
      </c>
      <c r="C44" s="30"/>
      <c r="D44" s="26">
        <f>1190.29+2.61</f>
        <v>1192.8999999999999</v>
      </c>
      <c r="E44" s="8"/>
      <c r="F44" s="35">
        <f>392.47-41.21</f>
        <v>351.26000000000005</v>
      </c>
      <c r="G44" s="20"/>
      <c r="H44" s="20"/>
    </row>
    <row r="45" spans="1:9" ht="13.5" thickTop="1" x14ac:dyDescent="0.2">
      <c r="A45" s="4"/>
      <c r="C45" s="7"/>
      <c r="D45" s="8"/>
      <c r="E45" s="8"/>
      <c r="F45" s="45"/>
      <c r="G45" s="25"/>
      <c r="H45" s="20"/>
      <c r="I45" s="5"/>
    </row>
    <row r="46" spans="1:9" x14ac:dyDescent="0.2">
      <c r="A46" s="7" t="s">
        <v>74</v>
      </c>
      <c r="C46" s="4"/>
    </row>
    <row r="47" spans="1:9" x14ac:dyDescent="0.2">
      <c r="D47" s="63">
        <f>+D4</f>
        <v>2025</v>
      </c>
      <c r="E47" s="16"/>
      <c r="F47" s="21">
        <v>2024</v>
      </c>
      <c r="G47" s="21"/>
      <c r="H47" s="21"/>
    </row>
    <row r="48" spans="1:9" x14ac:dyDescent="0.2">
      <c r="A48" s="4" t="s">
        <v>1</v>
      </c>
      <c r="B48" s="13" t="s">
        <v>29</v>
      </c>
      <c r="D48" s="29">
        <v>6832.74</v>
      </c>
      <c r="E48" s="19"/>
      <c r="F48" s="36">
        <v>4238.7</v>
      </c>
      <c r="G48" s="22"/>
      <c r="H48" s="22"/>
    </row>
    <row r="49" spans="1:8" x14ac:dyDescent="0.2">
      <c r="A49" s="4"/>
      <c r="B49" s="13" t="s">
        <v>86</v>
      </c>
      <c r="D49" s="29">
        <f>19169.83+10209.86</f>
        <v>29379.690000000002</v>
      </c>
      <c r="E49" s="19"/>
      <c r="F49" s="36">
        <v>18351.259999999998</v>
      </c>
      <c r="G49" s="22"/>
      <c r="H49" s="22"/>
    </row>
    <row r="50" spans="1:8" x14ac:dyDescent="0.2">
      <c r="A50" s="4"/>
      <c r="B50" s="13" t="s">
        <v>30</v>
      </c>
      <c r="D50" s="10">
        <v>274.3</v>
      </c>
      <c r="E50" s="19"/>
      <c r="F50" s="37">
        <v>300.64999999999998</v>
      </c>
      <c r="G50" s="22"/>
      <c r="H50" s="22"/>
    </row>
    <row r="51" spans="1:8" x14ac:dyDescent="0.2">
      <c r="A51" s="13" t="s">
        <v>2</v>
      </c>
      <c r="D51" s="3">
        <f>SUM(D48:D50)</f>
        <v>36486.730000000003</v>
      </c>
      <c r="E51" s="19"/>
      <c r="F51" s="14">
        <f>SUM(F48:F50)</f>
        <v>22890.61</v>
      </c>
      <c r="G51" s="22"/>
      <c r="H51" s="22"/>
    </row>
    <row r="52" spans="1:8" x14ac:dyDescent="0.2">
      <c r="D52" s="3"/>
      <c r="E52" s="19"/>
      <c r="F52" s="14"/>
      <c r="G52" s="22"/>
      <c r="H52" s="22"/>
    </row>
    <row r="53" spans="1:8" x14ac:dyDescent="0.2">
      <c r="A53" s="4" t="s">
        <v>3</v>
      </c>
      <c r="B53" s="13" t="s">
        <v>71</v>
      </c>
      <c r="D53" s="3">
        <f>60</f>
        <v>60</v>
      </c>
      <c r="E53" s="19"/>
      <c r="F53" s="14">
        <v>101</v>
      </c>
      <c r="G53" s="22"/>
      <c r="H53" s="22"/>
    </row>
    <row r="54" spans="1:8" x14ac:dyDescent="0.2">
      <c r="A54" s="4"/>
      <c r="B54" s="13" t="s">
        <v>87</v>
      </c>
      <c r="D54" s="84">
        <v>-161.86000000000001</v>
      </c>
      <c r="E54" s="19"/>
      <c r="F54" s="14">
        <v>0</v>
      </c>
      <c r="G54" s="22"/>
      <c r="H54" s="22"/>
    </row>
    <row r="55" spans="1:8" x14ac:dyDescent="0.2">
      <c r="B55" s="13"/>
      <c r="D55" s="80"/>
      <c r="E55" s="19"/>
      <c r="F55" s="37"/>
      <c r="G55" s="22"/>
      <c r="H55" s="22"/>
    </row>
    <row r="56" spans="1:8" ht="13.5" thickBot="1" x14ac:dyDescent="0.25">
      <c r="B56" s="4" t="s">
        <v>25</v>
      </c>
      <c r="C56" s="4"/>
      <c r="D56" s="11">
        <f>+D51-D53-D54</f>
        <v>36588.590000000004</v>
      </c>
      <c r="E56" s="19"/>
      <c r="F56" s="38">
        <f>+F51-F53-F54</f>
        <v>22789.61</v>
      </c>
      <c r="G56" s="23"/>
      <c r="H56" s="23"/>
    </row>
    <row r="57" spans="1:8" ht="13.5" thickTop="1" x14ac:dyDescent="0.2"/>
    <row r="58" spans="1:8" x14ac:dyDescent="0.2">
      <c r="A58" s="4" t="s">
        <v>26</v>
      </c>
      <c r="B58" s="13" t="s">
        <v>77</v>
      </c>
      <c r="D58" s="3"/>
      <c r="E58" s="19"/>
      <c r="F58" s="14"/>
      <c r="G58" s="23"/>
      <c r="H58" s="23"/>
    </row>
    <row r="59" spans="1:8" x14ac:dyDescent="0.2">
      <c r="A59" s="4"/>
      <c r="B59" s="13" t="s">
        <v>31</v>
      </c>
      <c r="C59" s="1">
        <v>18006.36</v>
      </c>
      <c r="D59" s="3"/>
      <c r="E59" s="19"/>
      <c r="F59" s="14">
        <v>9198.2099999999991</v>
      </c>
      <c r="G59" s="23"/>
      <c r="H59" s="23"/>
    </row>
    <row r="60" spans="1:8" x14ac:dyDescent="0.2">
      <c r="A60" s="4"/>
      <c r="B60" s="13" t="s">
        <v>62</v>
      </c>
      <c r="C60" s="18">
        <f>+D42-500</f>
        <v>12064.874000000011</v>
      </c>
      <c r="E60" s="19"/>
      <c r="F60" s="37">
        <f>+F42-500</f>
        <v>8808.1500000000015</v>
      </c>
      <c r="G60" s="23"/>
      <c r="H60" s="23"/>
    </row>
    <row r="61" spans="1:8" x14ac:dyDescent="0.2">
      <c r="A61" s="4"/>
      <c r="B61" s="13" t="s">
        <v>32</v>
      </c>
      <c r="C61" s="34"/>
      <c r="D61" s="3">
        <f>SUM(C59:C60)</f>
        <v>30071.234000000011</v>
      </c>
      <c r="E61" s="19"/>
      <c r="F61" s="14">
        <f>SUM(F59:F60)</f>
        <v>18006.36</v>
      </c>
      <c r="G61" s="23"/>
      <c r="H61" s="23"/>
    </row>
    <row r="62" spans="1:8" x14ac:dyDescent="0.2">
      <c r="A62" s="4"/>
      <c r="D62" s="3"/>
      <c r="E62" s="19"/>
      <c r="F62" s="14"/>
      <c r="G62" s="23"/>
      <c r="H62" s="23"/>
    </row>
    <row r="63" spans="1:8" x14ac:dyDescent="0.2">
      <c r="B63" s="13" t="s">
        <v>76</v>
      </c>
      <c r="C63" s="1">
        <v>4431.99</v>
      </c>
      <c r="D63" s="3"/>
      <c r="E63" s="19"/>
      <c r="F63" s="14">
        <v>3931.99</v>
      </c>
      <c r="G63" s="23"/>
      <c r="H63" s="23"/>
    </row>
    <row r="64" spans="1:8" x14ac:dyDescent="0.2">
      <c r="B64" s="13" t="s">
        <v>28</v>
      </c>
      <c r="C64" s="64">
        <v>500</v>
      </c>
      <c r="E64" s="19"/>
      <c r="F64" s="37">
        <v>500</v>
      </c>
      <c r="G64" s="23"/>
      <c r="H64" s="23"/>
    </row>
    <row r="65" spans="1:10" x14ac:dyDescent="0.2">
      <c r="B65" s="13"/>
      <c r="C65" s="5"/>
      <c r="D65" s="3">
        <f>SUM(C63:C64)</f>
        <v>4931.99</v>
      </c>
      <c r="E65" s="19"/>
      <c r="F65" s="14">
        <f>SUM(F63:F64)</f>
        <v>4431.99</v>
      </c>
      <c r="G65" s="23"/>
      <c r="H65" s="23"/>
    </row>
    <row r="66" spans="1:10" x14ac:dyDescent="0.2">
      <c r="B66" s="4" t="s">
        <v>75</v>
      </c>
      <c r="C66" s="5"/>
      <c r="D66" s="3"/>
      <c r="E66" s="19"/>
      <c r="F66" s="14"/>
      <c r="G66" s="23"/>
      <c r="H66" s="23"/>
    </row>
    <row r="67" spans="1:10" x14ac:dyDescent="0.2">
      <c r="B67" s="13" t="s">
        <v>31</v>
      </c>
      <c r="C67" s="5">
        <f>+F69</f>
        <v>392.46999999999997</v>
      </c>
      <c r="D67" s="3"/>
      <c r="E67" s="19"/>
      <c r="F67" s="14">
        <v>41.21</v>
      </c>
      <c r="G67" s="23"/>
      <c r="H67" s="23"/>
    </row>
    <row r="68" spans="1:10" x14ac:dyDescent="0.2">
      <c r="B68" s="13" t="s">
        <v>78</v>
      </c>
      <c r="C68" s="64">
        <f>+D44</f>
        <v>1192.8999999999999</v>
      </c>
      <c r="E68" s="19"/>
      <c r="F68" s="37">
        <f>310.05+41.21</f>
        <v>351.26</v>
      </c>
      <c r="G68" s="23"/>
      <c r="H68" s="23"/>
    </row>
    <row r="69" spans="1:10" x14ac:dyDescent="0.2">
      <c r="C69" s="5"/>
      <c r="D69" s="3">
        <f>SUM(C67:C68)</f>
        <v>1585.37</v>
      </c>
      <c r="E69" s="19"/>
      <c r="F69" s="14">
        <f>SUM(F67:F68)</f>
        <v>392.46999999999997</v>
      </c>
      <c r="G69" s="23"/>
      <c r="H69" s="23"/>
    </row>
    <row r="70" spans="1:10" ht="13.5" thickBot="1" x14ac:dyDescent="0.25">
      <c r="D70" s="12">
        <f>SUM(D58:D69)</f>
        <v>36588.594000000012</v>
      </c>
      <c r="E70" s="8"/>
      <c r="F70" s="39">
        <f>+F61+F65+F68</f>
        <v>22789.609999999997</v>
      </c>
      <c r="G70" s="5"/>
      <c r="H70" s="1"/>
      <c r="I70" s="5"/>
      <c r="J70" s="5"/>
    </row>
    <row r="71" spans="1:10" ht="13.5" thickTop="1" x14ac:dyDescent="0.2">
      <c r="H71" s="5"/>
    </row>
    <row r="73" spans="1:10" ht="15.75" x14ac:dyDescent="0.25">
      <c r="A73" s="96" t="s">
        <v>0</v>
      </c>
      <c r="B73" s="96"/>
      <c r="C73" s="96"/>
      <c r="D73" s="96"/>
      <c r="E73" s="96"/>
      <c r="F73" s="96"/>
    </row>
    <row r="74" spans="1:10" x14ac:dyDescent="0.2">
      <c r="A74" s="4" t="s">
        <v>105</v>
      </c>
    </row>
    <row r="76" spans="1:10" x14ac:dyDescent="0.2">
      <c r="A76" s="4" t="s">
        <v>90</v>
      </c>
    </row>
    <row r="77" spans="1:10" ht="27" customHeight="1" x14ac:dyDescent="0.2">
      <c r="A77" s="97" t="s">
        <v>106</v>
      </c>
      <c r="B77" s="97"/>
      <c r="C77" s="97"/>
      <c r="D77" s="97"/>
      <c r="E77" s="97"/>
      <c r="F77" s="97"/>
    </row>
    <row r="78" spans="1:10" ht="25.5" customHeight="1" x14ac:dyDescent="0.2">
      <c r="A78" s="97" t="s">
        <v>91</v>
      </c>
      <c r="B78" s="97"/>
      <c r="C78" s="97"/>
      <c r="D78" s="97"/>
      <c r="E78" s="97"/>
      <c r="F78" s="97"/>
    </row>
    <row r="79" spans="1:10" x14ac:dyDescent="0.2">
      <c r="A79" s="4" t="s">
        <v>115</v>
      </c>
    </row>
    <row r="80" spans="1:10" x14ac:dyDescent="0.2">
      <c r="A80" s="4" t="s">
        <v>92</v>
      </c>
      <c r="C80" s="16">
        <v>2025</v>
      </c>
      <c r="F80" s="85">
        <v>2024</v>
      </c>
    </row>
    <row r="81" spans="1:6" x14ac:dyDescent="0.2">
      <c r="A81" s="13" t="s">
        <v>93</v>
      </c>
      <c r="B81" s="13" t="s">
        <v>94</v>
      </c>
      <c r="C81" s="5">
        <f>+D13</f>
        <v>49439.984000000011</v>
      </c>
      <c r="F81" s="30">
        <f>+F13</f>
        <v>44945.440000000002</v>
      </c>
    </row>
    <row r="82" spans="1:6" x14ac:dyDescent="0.2">
      <c r="B82" s="13" t="s">
        <v>47</v>
      </c>
      <c r="C82" s="5">
        <f>+D20</f>
        <v>1600.02</v>
      </c>
      <c r="F82" s="30">
        <f>+F20</f>
        <v>1617.6</v>
      </c>
    </row>
    <row r="83" spans="1:6" x14ac:dyDescent="0.2">
      <c r="B83" s="13" t="s">
        <v>69</v>
      </c>
      <c r="C83" s="64">
        <f>+D44</f>
        <v>1192.8999999999999</v>
      </c>
      <c r="F83" s="64">
        <f>+F44</f>
        <v>351.26000000000005</v>
      </c>
    </row>
    <row r="84" spans="1:6" x14ac:dyDescent="0.2">
      <c r="C84" s="5">
        <f>SUM(C81:C83)</f>
        <v>52232.90400000001</v>
      </c>
      <c r="F84" s="30">
        <f>SUM(F81:F83)</f>
        <v>46914.3</v>
      </c>
    </row>
    <row r="86" spans="1:6" x14ac:dyDescent="0.2">
      <c r="A86" s="13" t="s">
        <v>95</v>
      </c>
      <c r="B86" s="13" t="s">
        <v>96</v>
      </c>
      <c r="C86" s="5">
        <f>+D33+D34+D36</f>
        <v>35235.18</v>
      </c>
      <c r="F86" s="30">
        <f>+F33+F34+F36</f>
        <v>34472.159999999996</v>
      </c>
    </row>
    <row r="87" spans="1:6" x14ac:dyDescent="0.2">
      <c r="B87" s="13" t="s">
        <v>97</v>
      </c>
      <c r="C87" s="5">
        <f>+D37+60+101</f>
        <v>1123.6300000000001</v>
      </c>
      <c r="F87" s="30">
        <f>+F37-101+33</f>
        <v>454.62</v>
      </c>
    </row>
    <row r="88" spans="1:6" x14ac:dyDescent="0.2">
      <c r="B88" s="13" t="s">
        <v>98</v>
      </c>
      <c r="C88" s="5">
        <f>+D38+D39</f>
        <v>477.32</v>
      </c>
      <c r="F88" s="30">
        <f>+F38+F39</f>
        <v>460.11</v>
      </c>
    </row>
    <row r="89" spans="1:6" x14ac:dyDescent="0.2">
      <c r="B89" s="13" t="s">
        <v>107</v>
      </c>
      <c r="C89" s="87">
        <f>274.3-300.65+0.65</f>
        <v>-25.699999999999967</v>
      </c>
      <c r="F89" s="30">
        <f>300.65-287.47</f>
        <v>13.17999999999995</v>
      </c>
    </row>
    <row r="90" spans="1:6" x14ac:dyDescent="0.2">
      <c r="B90" s="13" t="s">
        <v>99</v>
      </c>
      <c r="C90" s="64">
        <f>+D32</f>
        <v>1800</v>
      </c>
      <c r="F90" s="53">
        <f>+F32</f>
        <v>1800</v>
      </c>
    </row>
    <row r="91" spans="1:6" x14ac:dyDescent="0.2">
      <c r="C91" s="5">
        <f>SUM(C86:C90)</f>
        <v>38610.43</v>
      </c>
      <c r="F91" s="30">
        <f>SUM(F86:F90)</f>
        <v>37200.07</v>
      </c>
    </row>
    <row r="93" spans="1:6" x14ac:dyDescent="0.2">
      <c r="B93" s="13" t="s">
        <v>100</v>
      </c>
      <c r="C93" s="5">
        <f>+C84-C91</f>
        <v>13622.474000000009</v>
      </c>
      <c r="F93" s="30">
        <f>+F84-F91</f>
        <v>9714.2300000000032</v>
      </c>
    </row>
    <row r="95" spans="1:6" x14ac:dyDescent="0.2">
      <c r="B95" s="13" t="s">
        <v>101</v>
      </c>
      <c r="C95" s="5">
        <f>+F48+F49</f>
        <v>22589.96</v>
      </c>
      <c r="F95" s="14">
        <v>12875.73</v>
      </c>
    </row>
    <row r="96" spans="1:6" x14ac:dyDescent="0.2">
      <c r="B96" s="4" t="s">
        <v>102</v>
      </c>
      <c r="C96" s="8">
        <f>+C95+C93</f>
        <v>36212.434000000008</v>
      </c>
      <c r="F96" s="8">
        <f>+F95+F93</f>
        <v>22589.960000000003</v>
      </c>
    </row>
    <row r="98" spans="1:6" x14ac:dyDescent="0.2">
      <c r="A98" s="13" t="s">
        <v>26</v>
      </c>
      <c r="B98" s="13" t="s">
        <v>29</v>
      </c>
      <c r="C98" s="5">
        <f>+D48</f>
        <v>6832.74</v>
      </c>
      <c r="F98" s="30">
        <f>+F48</f>
        <v>4238.7</v>
      </c>
    </row>
    <row r="99" spans="1:6" x14ac:dyDescent="0.2">
      <c r="B99" s="13" t="s">
        <v>103</v>
      </c>
      <c r="C99" s="1">
        <v>19169.830000000002</v>
      </c>
      <c r="D99" s="13"/>
      <c r="F99" s="14">
        <v>18351.259999999998</v>
      </c>
    </row>
    <row r="100" spans="1:6" x14ac:dyDescent="0.2">
      <c r="B100" s="13" t="s">
        <v>104</v>
      </c>
      <c r="C100" s="2">
        <v>10209.86</v>
      </c>
      <c r="F100" s="37">
        <v>0</v>
      </c>
    </row>
    <row r="101" spans="1:6" x14ac:dyDescent="0.2">
      <c r="C101" s="8">
        <f>SUM(C98:C100)</f>
        <v>36212.43</v>
      </c>
      <c r="F101" s="8">
        <f>SUM(F98:F100)</f>
        <v>22589.96</v>
      </c>
    </row>
    <row r="102" spans="1:6" x14ac:dyDescent="0.2">
      <c r="B102" s="13"/>
    </row>
    <row r="103" spans="1:6" x14ac:dyDescent="0.2">
      <c r="A103" s="4" t="s">
        <v>108</v>
      </c>
      <c r="B103" s="13"/>
      <c r="C103" s="30"/>
      <c r="F103" s="30"/>
    </row>
  </sheetData>
  <mergeCells count="4">
    <mergeCell ref="A1:F1"/>
    <mergeCell ref="A73:F73"/>
    <mergeCell ref="A77:F77"/>
    <mergeCell ref="A78:F78"/>
  </mergeCells>
  <pageMargins left="0.75" right="0.75" top="1" bottom="1" header="0.5" footer="0.5"/>
  <pageSetup paperSize="9" scale="92" fitToHeight="0" orientation="portrait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E491D-D936-4556-8CA5-E6104EA2C01A}">
  <sheetPr>
    <pageSetUpPr fitToPage="1"/>
  </sheetPr>
  <dimension ref="A1:T67"/>
  <sheetViews>
    <sheetView zoomScaleNormal="100" workbookViewId="0">
      <selection activeCell="H6" sqref="H6"/>
    </sheetView>
  </sheetViews>
  <sheetFormatPr defaultRowHeight="12.75" x14ac:dyDescent="0.2"/>
  <cols>
    <col min="1" max="1" width="31.42578125" customWidth="1"/>
    <col min="2" max="2" width="11.7109375" style="13" customWidth="1"/>
    <col min="3" max="3" width="2.140625" customWidth="1"/>
    <col min="4" max="4" width="10.28515625" customWidth="1"/>
    <col min="5" max="5" width="2" customWidth="1"/>
    <col min="6" max="6" width="12.28515625" style="4" customWidth="1"/>
    <col min="7" max="8" width="11.42578125" style="40" customWidth="1"/>
    <col min="9" max="9" width="10.5703125" customWidth="1"/>
    <col min="10" max="10" width="10.42578125" customWidth="1"/>
    <col min="11" max="11" width="12" customWidth="1"/>
    <col min="13" max="13" width="19.85546875" customWidth="1"/>
    <col min="14" max="14" width="12" customWidth="1"/>
    <col min="15" max="15" width="10.28515625" bestFit="1" customWidth="1"/>
    <col min="16" max="16" width="11.7109375" customWidth="1"/>
    <col min="17" max="17" width="10.28515625" bestFit="1" customWidth="1"/>
  </cols>
  <sheetData>
    <row r="1" spans="1:15" ht="15.75" x14ac:dyDescent="0.25">
      <c r="A1" s="6" t="s">
        <v>0</v>
      </c>
      <c r="D1" s="4" t="s">
        <v>50</v>
      </c>
      <c r="G1" s="43"/>
      <c r="H1" s="43"/>
    </row>
    <row r="2" spans="1:15" ht="15" x14ac:dyDescent="0.2">
      <c r="F2" s="70"/>
      <c r="G2" s="95"/>
      <c r="H2" s="95"/>
    </row>
    <row r="3" spans="1:15" x14ac:dyDescent="0.2">
      <c r="A3" s="4" t="s">
        <v>79</v>
      </c>
      <c r="G3" s="43"/>
      <c r="H3" s="81" t="s">
        <v>114</v>
      </c>
      <c r="M3" s="46" t="s">
        <v>55</v>
      </c>
    </row>
    <row r="4" spans="1:15" x14ac:dyDescent="0.2">
      <c r="B4" s="16" t="s">
        <v>80</v>
      </c>
      <c r="C4" s="16"/>
      <c r="D4" s="21" t="s">
        <v>70</v>
      </c>
      <c r="E4" s="16"/>
      <c r="F4" s="63" t="s">
        <v>81</v>
      </c>
      <c r="G4" s="41" t="s">
        <v>33</v>
      </c>
      <c r="H4" s="94" t="s">
        <v>110</v>
      </c>
      <c r="I4" s="41" t="s">
        <v>33</v>
      </c>
      <c r="M4" s="60" t="s">
        <v>54</v>
      </c>
      <c r="N4" s="4" t="s">
        <v>56</v>
      </c>
      <c r="O4" s="13" t="s">
        <v>111</v>
      </c>
    </row>
    <row r="5" spans="1:15" x14ac:dyDescent="0.2">
      <c r="A5" s="4" t="s">
        <v>21</v>
      </c>
      <c r="D5" s="82"/>
      <c r="F5" s="16"/>
      <c r="G5" s="42"/>
      <c r="M5" s="43"/>
      <c r="N5" s="4"/>
    </row>
    <row r="6" spans="1:15" x14ac:dyDescent="0.2">
      <c r="A6" t="s">
        <v>10</v>
      </c>
      <c r="B6" s="20">
        <f>+'Financial Statement YE 2025'!C5</f>
        <v>7060.0309999999999</v>
      </c>
      <c r="C6" s="8"/>
      <c r="D6" s="15">
        <v>7060.03</v>
      </c>
      <c r="E6" s="8"/>
      <c r="F6" s="47">
        <f>+B6*$H$5+B6</f>
        <v>7060.0309999999999</v>
      </c>
      <c r="G6" s="42">
        <f>(F6-B6)/B6</f>
        <v>0</v>
      </c>
      <c r="H6" s="22">
        <f>+O6</f>
        <v>7271.8319300000003</v>
      </c>
      <c r="I6" s="88">
        <f>+(H6-B6)/B6</f>
        <v>3.0000000000000047E-2</v>
      </c>
      <c r="M6" s="58">
        <v>0.14280000000000001</v>
      </c>
      <c r="N6" s="65">
        <f t="shared" ref="N6:N13" si="0">+F6</f>
        <v>7060.0309999999999</v>
      </c>
      <c r="O6" s="1">
        <f>+N6*1.03</f>
        <v>7271.8319300000003</v>
      </c>
    </row>
    <row r="7" spans="1:15" x14ac:dyDescent="0.2">
      <c r="A7" t="s">
        <v>11</v>
      </c>
      <c r="B7" s="20">
        <f>+'Financial Statement YE 2025'!C6</f>
        <v>7060.0309999999999</v>
      </c>
      <c r="C7" s="8"/>
      <c r="D7" s="1">
        <v>7060.03</v>
      </c>
      <c r="E7" s="8"/>
      <c r="F7" s="47">
        <f t="shared" ref="F7:F13" si="1">+B7*$H$5+B7</f>
        <v>7060.0309999999999</v>
      </c>
      <c r="G7" s="42">
        <f t="shared" ref="G7:G13" si="2">(F7-B7)/B7</f>
        <v>0</v>
      </c>
      <c r="H7" s="22">
        <f t="shared" ref="H7:H13" si="3">+O7</f>
        <v>7271.8319300000003</v>
      </c>
      <c r="I7" s="88">
        <f t="shared" ref="I7:I13" si="4">+(H7-B7)/B7</f>
        <v>3.0000000000000047E-2</v>
      </c>
      <c r="M7" s="58">
        <v>0.14280000000000001</v>
      </c>
      <c r="N7" s="65">
        <f t="shared" si="0"/>
        <v>7060.0309999999999</v>
      </c>
      <c r="O7" s="1">
        <f t="shared" ref="O7:O13" si="5">+N7*1.03</f>
        <v>7271.8319300000003</v>
      </c>
    </row>
    <row r="8" spans="1:15" x14ac:dyDescent="0.2">
      <c r="A8" t="s">
        <v>12</v>
      </c>
      <c r="B8" s="20">
        <f>+'Financial Statement YE 2025'!C7</f>
        <v>6081.1189999999997</v>
      </c>
      <c r="C8" s="8"/>
      <c r="D8" s="1">
        <v>6081.12</v>
      </c>
      <c r="E8" s="8"/>
      <c r="F8" s="47">
        <f t="shared" si="1"/>
        <v>6081.1189999999997</v>
      </c>
      <c r="G8" s="42">
        <f t="shared" si="2"/>
        <v>0</v>
      </c>
      <c r="H8" s="22">
        <f t="shared" si="3"/>
        <v>6263.5525699999998</v>
      </c>
      <c r="I8" s="88">
        <f t="shared" si="4"/>
        <v>3.0000000000000027E-2</v>
      </c>
      <c r="M8" s="58">
        <v>0.123</v>
      </c>
      <c r="N8" s="65">
        <f t="shared" si="0"/>
        <v>6081.1189999999997</v>
      </c>
      <c r="O8" s="1">
        <f t="shared" si="5"/>
        <v>6263.5525699999998</v>
      </c>
    </row>
    <row r="9" spans="1:15" x14ac:dyDescent="0.2">
      <c r="A9" t="s">
        <v>13</v>
      </c>
      <c r="B9" s="20">
        <f>+'Financial Statement YE 2025'!C8</f>
        <v>4518.8110000000006</v>
      </c>
      <c r="C9" s="8"/>
      <c r="D9" s="1">
        <v>4518.8100000000004</v>
      </c>
      <c r="E9" s="8"/>
      <c r="F9" s="47">
        <f t="shared" si="1"/>
        <v>4518.8110000000006</v>
      </c>
      <c r="G9" s="42">
        <f t="shared" si="2"/>
        <v>0</v>
      </c>
      <c r="H9" s="22">
        <f t="shared" si="3"/>
        <v>4654.3753300000008</v>
      </c>
      <c r="I9" s="88">
        <f t="shared" si="4"/>
        <v>3.000000000000003E-2</v>
      </c>
      <c r="M9" s="58">
        <v>9.1399999999999995E-2</v>
      </c>
      <c r="N9" s="65">
        <f t="shared" si="0"/>
        <v>4518.8110000000006</v>
      </c>
      <c r="O9" s="1">
        <f t="shared" si="5"/>
        <v>4654.3753300000008</v>
      </c>
    </row>
    <row r="10" spans="1:15" x14ac:dyDescent="0.2">
      <c r="A10" t="s">
        <v>14</v>
      </c>
      <c r="B10" s="20">
        <f>+'Financial Statement YE 2025'!C9</f>
        <v>4518.8110000000006</v>
      </c>
      <c r="C10" s="8"/>
      <c r="D10" s="1">
        <v>4518.8100000000004</v>
      </c>
      <c r="E10" s="8"/>
      <c r="F10" s="47">
        <f t="shared" si="1"/>
        <v>4518.8110000000006</v>
      </c>
      <c r="G10" s="42">
        <f t="shared" si="2"/>
        <v>0</v>
      </c>
      <c r="H10" s="22">
        <f t="shared" si="3"/>
        <v>4654.3753300000008</v>
      </c>
      <c r="I10" s="88">
        <f t="shared" si="4"/>
        <v>3.000000000000003E-2</v>
      </c>
      <c r="M10" s="58">
        <v>9.1399999999999995E-2</v>
      </c>
      <c r="N10" s="65">
        <f t="shared" si="0"/>
        <v>4518.8110000000006</v>
      </c>
      <c r="O10" s="1">
        <f t="shared" si="5"/>
        <v>4654.3753300000008</v>
      </c>
    </row>
    <row r="11" spans="1:15" x14ac:dyDescent="0.2">
      <c r="A11" t="s">
        <v>15</v>
      </c>
      <c r="B11" s="20">
        <f>+'Financial Statement YE 2025'!C10</f>
        <v>6081.1189999999997</v>
      </c>
      <c r="C11" s="8"/>
      <c r="D11" s="1">
        <v>6081.12</v>
      </c>
      <c r="E11" s="8"/>
      <c r="F11" s="47">
        <f t="shared" si="1"/>
        <v>6081.1189999999997</v>
      </c>
      <c r="G11" s="42">
        <f t="shared" si="2"/>
        <v>0</v>
      </c>
      <c r="H11" s="22">
        <f t="shared" si="3"/>
        <v>6263.5525699999998</v>
      </c>
      <c r="I11" s="88">
        <f t="shared" si="4"/>
        <v>3.0000000000000027E-2</v>
      </c>
      <c r="M11" s="58">
        <v>0.123</v>
      </c>
      <c r="N11" s="65">
        <f t="shared" si="0"/>
        <v>6081.1189999999997</v>
      </c>
      <c r="O11" s="1">
        <f t="shared" si="5"/>
        <v>6263.5525699999998</v>
      </c>
    </row>
    <row r="12" spans="1:15" x14ac:dyDescent="0.2">
      <c r="A12" t="s">
        <v>16</v>
      </c>
      <c r="B12" s="20">
        <f>+'Financial Statement YE 2025'!C11</f>
        <v>7060.0309999999999</v>
      </c>
      <c r="C12" s="8"/>
      <c r="D12" s="1">
        <v>7060.03</v>
      </c>
      <c r="E12" s="8"/>
      <c r="F12" s="47">
        <f t="shared" si="1"/>
        <v>7060.0309999999999</v>
      </c>
      <c r="G12" s="42">
        <f t="shared" si="2"/>
        <v>0</v>
      </c>
      <c r="H12" s="22">
        <f t="shared" si="3"/>
        <v>7271.8319300000003</v>
      </c>
      <c r="I12" s="88">
        <f t="shared" si="4"/>
        <v>3.0000000000000047E-2</v>
      </c>
      <c r="M12" s="58">
        <v>0.14280000000000001</v>
      </c>
      <c r="N12" s="65">
        <f t="shared" si="0"/>
        <v>7060.0309999999999</v>
      </c>
      <c r="O12" s="1">
        <f t="shared" si="5"/>
        <v>7271.8319300000003</v>
      </c>
    </row>
    <row r="13" spans="1:15" x14ac:dyDescent="0.2">
      <c r="A13" t="s">
        <v>17</v>
      </c>
      <c r="B13" s="20">
        <f>+'Financial Statement YE 2025'!C12</f>
        <v>7060.0309999999999</v>
      </c>
      <c r="C13" s="8"/>
      <c r="D13" s="1">
        <v>7060.03</v>
      </c>
      <c r="E13" s="8"/>
      <c r="F13" s="47">
        <f t="shared" si="1"/>
        <v>7060.0309999999999</v>
      </c>
      <c r="G13" s="42">
        <f t="shared" si="2"/>
        <v>0</v>
      </c>
      <c r="H13" s="22">
        <f t="shared" si="3"/>
        <v>7271.8319300000003</v>
      </c>
      <c r="I13" s="88">
        <f t="shared" si="4"/>
        <v>3.0000000000000047E-2</v>
      </c>
      <c r="M13" s="58">
        <v>0.14280000000000001</v>
      </c>
      <c r="N13" s="65">
        <f t="shared" si="0"/>
        <v>7060.0309999999999</v>
      </c>
      <c r="O13" s="1">
        <f t="shared" si="5"/>
        <v>7271.8319300000003</v>
      </c>
    </row>
    <row r="14" spans="1:15" x14ac:dyDescent="0.2">
      <c r="A14" s="13" t="s">
        <v>69</v>
      </c>
      <c r="B14" s="20">
        <v>1192.9000000000001</v>
      </c>
      <c r="C14" s="8"/>
      <c r="D14" s="1">
        <v>350</v>
      </c>
      <c r="E14" s="8"/>
      <c r="F14" s="47">
        <v>1000</v>
      </c>
      <c r="G14" s="42"/>
      <c r="H14" s="22">
        <v>1000</v>
      </c>
      <c r="I14" s="88"/>
      <c r="M14" s="58"/>
      <c r="N14" s="65"/>
      <c r="O14" s="1"/>
    </row>
    <row r="15" spans="1:15" x14ac:dyDescent="0.2">
      <c r="A15" s="13" t="s">
        <v>39</v>
      </c>
      <c r="B15" s="30">
        <v>0.02</v>
      </c>
      <c r="C15" s="8"/>
      <c r="D15" s="15"/>
      <c r="E15" s="8"/>
      <c r="F15" s="17"/>
      <c r="G15" s="43"/>
      <c r="M15" s="41"/>
      <c r="N15" s="4"/>
    </row>
    <row r="16" spans="1:15" x14ac:dyDescent="0.2">
      <c r="A16" s="13" t="s">
        <v>49</v>
      </c>
      <c r="B16" s="30"/>
      <c r="D16" s="15"/>
      <c r="F16" s="17"/>
      <c r="G16" s="43"/>
      <c r="M16" s="43"/>
      <c r="N16" s="4"/>
    </row>
    <row r="17" spans="1:18" x14ac:dyDescent="0.2">
      <c r="A17" s="4" t="s">
        <v>19</v>
      </c>
      <c r="B17" s="31">
        <f>SUM(B6:B16)</f>
        <v>50632.90400000001</v>
      </c>
      <c r="C17" s="8"/>
      <c r="D17" s="48">
        <f>SUM(D6:D16)</f>
        <v>49789.98</v>
      </c>
      <c r="E17" s="8"/>
      <c r="F17" s="9">
        <f>SUM(F6:F16)</f>
        <v>50439.984000000011</v>
      </c>
      <c r="G17" s="43">
        <f>F17/B17</f>
        <v>0.99618982944371515</v>
      </c>
      <c r="H17" s="9">
        <f>SUM(H6:H13)+H14</f>
        <v>51923.183520000006</v>
      </c>
      <c r="M17" s="41">
        <f>SUM(M6:M16)</f>
        <v>1</v>
      </c>
      <c r="N17" s="9">
        <f>SUM(N6:N16)</f>
        <v>49439.984000000011</v>
      </c>
      <c r="O17" s="9">
        <f>SUM(O6:O16)</f>
        <v>50923.183520000006</v>
      </c>
    </row>
    <row r="18" spans="1:18" x14ac:dyDescent="0.2">
      <c r="D18" s="15"/>
      <c r="F18" s="17"/>
      <c r="G18" s="43"/>
      <c r="H18" s="44"/>
      <c r="O18" s="5">
        <f>+O17/B17</f>
        <v>1.005733021357021</v>
      </c>
    </row>
    <row r="19" spans="1:18" x14ac:dyDescent="0.2">
      <c r="A19" s="4" t="s">
        <v>20</v>
      </c>
      <c r="D19" s="15"/>
      <c r="F19" s="17"/>
      <c r="G19" s="43"/>
      <c r="H19" s="43"/>
    </row>
    <row r="20" spans="1:18" x14ac:dyDescent="0.2">
      <c r="A20" t="s">
        <v>5</v>
      </c>
      <c r="B20" s="47">
        <f>+'Financial Statement YE 2025'!D32</f>
        <v>1800</v>
      </c>
      <c r="C20" s="19"/>
      <c r="D20" s="15">
        <v>1800</v>
      </c>
      <c r="E20" s="19"/>
      <c r="F20" s="17">
        <v>1800</v>
      </c>
      <c r="G20" s="44"/>
      <c r="H20" s="43"/>
    </row>
    <row r="21" spans="1:18" x14ac:dyDescent="0.2">
      <c r="A21" t="s">
        <v>6</v>
      </c>
      <c r="B21" s="47">
        <f>+'Financial Statement YE 2025'!D33</f>
        <v>32385.18</v>
      </c>
      <c r="C21" s="19"/>
      <c r="D21" s="15">
        <v>36140.019999999997</v>
      </c>
      <c r="E21" s="19"/>
      <c r="F21" s="17">
        <f>+B21*1.07</f>
        <v>34652.142599999999</v>
      </c>
      <c r="G21" s="81" t="s">
        <v>83</v>
      </c>
      <c r="H21" s="44"/>
      <c r="J21" s="61"/>
    </row>
    <row r="22" spans="1:18" x14ac:dyDescent="0.2">
      <c r="A22" t="s">
        <v>7</v>
      </c>
      <c r="B22" s="47">
        <f>+'Financial Statement YE 2025'!D36</f>
        <v>1250</v>
      </c>
      <c r="C22" s="19"/>
      <c r="D22" s="15">
        <v>0</v>
      </c>
      <c r="E22" s="19"/>
      <c r="F22" s="17">
        <v>0</v>
      </c>
      <c r="G22" s="44" t="s">
        <v>82</v>
      </c>
      <c r="H22" s="43"/>
    </row>
    <row r="23" spans="1:18" x14ac:dyDescent="0.2">
      <c r="A23" t="s">
        <v>8</v>
      </c>
      <c r="B23" s="47">
        <f>+'Financial Statement YE 2025'!D38</f>
        <v>368.62</v>
      </c>
      <c r="C23" s="19"/>
      <c r="D23" s="15">
        <v>360</v>
      </c>
      <c r="E23" s="19"/>
      <c r="F23" s="17">
        <v>380</v>
      </c>
      <c r="G23" s="46"/>
      <c r="H23" s="44"/>
      <c r="I23" s="20"/>
    </row>
    <row r="24" spans="1:18" x14ac:dyDescent="0.2">
      <c r="A24" t="s">
        <v>4</v>
      </c>
      <c r="B24" s="47">
        <f>+'Financial Statement YE 2025'!D37</f>
        <v>962.63</v>
      </c>
      <c r="C24" s="19"/>
      <c r="D24" s="15">
        <v>660</v>
      </c>
      <c r="E24" s="19"/>
      <c r="F24" s="17">
        <f>30*12+300</f>
        <v>660</v>
      </c>
      <c r="G24" s="46"/>
      <c r="H24" s="44"/>
      <c r="I24" s="33"/>
    </row>
    <row r="25" spans="1:18" x14ac:dyDescent="0.2">
      <c r="A25" t="s">
        <v>9</v>
      </c>
      <c r="B25" s="47">
        <f>+'Financial Statement YE 2025'!D39</f>
        <v>108.7</v>
      </c>
      <c r="C25" s="19"/>
      <c r="D25" s="15">
        <v>150</v>
      </c>
      <c r="E25" s="19"/>
      <c r="F25" s="17">
        <v>150</v>
      </c>
      <c r="G25" s="43"/>
      <c r="H25" s="43"/>
      <c r="I25" s="20"/>
      <c r="N25">
        <f>19169.83*0.0375</f>
        <v>718.86862500000007</v>
      </c>
    </row>
    <row r="26" spans="1:18" x14ac:dyDescent="0.2">
      <c r="A26" t="s">
        <v>40</v>
      </c>
      <c r="B26" s="47"/>
      <c r="G26" s="43"/>
      <c r="H26" s="43"/>
      <c r="I26" s="20"/>
      <c r="N26">
        <f>10209.86*0.0345</f>
        <v>352.24017000000003</v>
      </c>
    </row>
    <row r="27" spans="1:18" x14ac:dyDescent="0.2">
      <c r="A27" s="13" t="s">
        <v>49</v>
      </c>
      <c r="B27" s="47"/>
      <c r="D27" s="15"/>
      <c r="F27" s="17"/>
      <c r="G27" s="43"/>
      <c r="H27" s="20"/>
      <c r="I27" s="20"/>
    </row>
    <row r="28" spans="1:18" x14ac:dyDescent="0.2">
      <c r="A28" s="4" t="s">
        <v>22</v>
      </c>
      <c r="B28" s="31">
        <f>SUM(B20:B27)</f>
        <v>36875.129999999997</v>
      </c>
      <c r="C28" s="8"/>
      <c r="D28" s="49">
        <f>SUM(D20:D27)</f>
        <v>39110.019999999997</v>
      </c>
      <c r="E28" s="8"/>
      <c r="F28" s="9">
        <f>SUM(F20:F27)</f>
        <v>37642.142599999999</v>
      </c>
      <c r="G28" s="43"/>
      <c r="H28" s="20">
        <f>+F28</f>
        <v>37642.142599999999</v>
      </c>
      <c r="I28" s="20"/>
      <c r="J28" s="5"/>
    </row>
    <row r="29" spans="1:18" x14ac:dyDescent="0.2">
      <c r="D29" s="15"/>
      <c r="F29" s="17"/>
      <c r="G29" s="43"/>
      <c r="H29" s="43"/>
      <c r="I29" s="20"/>
    </row>
    <row r="30" spans="1:18" x14ac:dyDescent="0.2">
      <c r="A30" s="4" t="s">
        <v>61</v>
      </c>
      <c r="B30" s="14">
        <v>4000</v>
      </c>
      <c r="D30" s="15">
        <v>4000</v>
      </c>
      <c r="F30" s="17">
        <v>4000</v>
      </c>
      <c r="G30" s="43"/>
      <c r="H30" s="20">
        <f>+F30</f>
        <v>4000</v>
      </c>
      <c r="I30" s="20"/>
    </row>
    <row r="31" spans="1:18" x14ac:dyDescent="0.2">
      <c r="D31" s="15"/>
      <c r="F31" s="17"/>
      <c r="G31" s="43"/>
      <c r="H31" s="43"/>
      <c r="I31" s="20"/>
    </row>
    <row r="32" spans="1:18" x14ac:dyDescent="0.2">
      <c r="A32" s="7" t="s">
        <v>23</v>
      </c>
      <c r="B32" s="30">
        <f>+B17-B28-B30</f>
        <v>9757.7740000000122</v>
      </c>
      <c r="C32" s="8"/>
      <c r="D32" s="30">
        <f>+D17-D28-D30</f>
        <v>6679.9600000000064</v>
      </c>
      <c r="E32" s="8"/>
      <c r="F32" s="30">
        <f>+F17-F28-F30</f>
        <v>8797.8414000000121</v>
      </c>
      <c r="G32" s="43"/>
      <c r="H32" s="30">
        <f>+H17-H28-H30</f>
        <v>10281.040920000007</v>
      </c>
      <c r="I32" s="20"/>
      <c r="J32" s="5"/>
      <c r="R32" s="5"/>
    </row>
    <row r="33" spans="1:16" x14ac:dyDescent="0.2">
      <c r="F33" s="55"/>
      <c r="G33" s="43"/>
      <c r="H33" s="43"/>
      <c r="N33" s="5"/>
      <c r="O33" s="5"/>
      <c r="P33" s="20"/>
    </row>
    <row r="34" spans="1:16" s="86" customFormat="1" ht="25.5" x14ac:dyDescent="0.2">
      <c r="A34" s="89" t="s">
        <v>112</v>
      </c>
      <c r="B34" s="92">
        <f>+B30+B32-B35</f>
        <v>13257.774000000012</v>
      </c>
      <c r="C34" s="93"/>
      <c r="D34" s="92">
        <f>+D30+D32-D35</f>
        <v>10179.960000000006</v>
      </c>
      <c r="E34" s="93"/>
      <c r="F34" s="92">
        <f>+F30+F32-F35</f>
        <v>12297.841400000012</v>
      </c>
      <c r="G34" s="90"/>
      <c r="H34" s="92">
        <f>+H30+H32-H35</f>
        <v>13781.040920000007</v>
      </c>
      <c r="O34" s="91"/>
    </row>
    <row r="35" spans="1:16" x14ac:dyDescent="0.2">
      <c r="A35" s="50" t="s">
        <v>27</v>
      </c>
      <c r="B35" s="32">
        <v>500</v>
      </c>
      <c r="C35" s="18"/>
      <c r="D35" s="18">
        <v>500</v>
      </c>
      <c r="E35" s="18"/>
      <c r="F35" s="56">
        <v>500</v>
      </c>
      <c r="G35" s="43"/>
      <c r="H35" s="56">
        <v>500</v>
      </c>
      <c r="O35" s="5"/>
    </row>
    <row r="36" spans="1:16" x14ac:dyDescent="0.2">
      <c r="B36" s="30"/>
    </row>
    <row r="37" spans="1:16" x14ac:dyDescent="0.2">
      <c r="O37" s="5"/>
    </row>
    <row r="38" spans="1:16" x14ac:dyDescent="0.2">
      <c r="A38" s="4" t="s">
        <v>41</v>
      </c>
      <c r="B38" s="28" t="s">
        <v>63</v>
      </c>
      <c r="C38" s="28"/>
      <c r="D38" s="28"/>
      <c r="E38" s="28"/>
      <c r="F38" s="28" t="s">
        <v>64</v>
      </c>
      <c r="G38" s="28" t="s">
        <v>65</v>
      </c>
      <c r="H38" s="28" t="s">
        <v>66</v>
      </c>
      <c r="I38" s="28" t="s">
        <v>84</v>
      </c>
      <c r="J38" s="28" t="s">
        <v>85</v>
      </c>
    </row>
    <row r="39" spans="1:16" ht="15" x14ac:dyDescent="0.35">
      <c r="A39" s="13" t="s">
        <v>45</v>
      </c>
      <c r="B39" s="72">
        <v>30071</v>
      </c>
      <c r="F39" s="66"/>
      <c r="G39"/>
      <c r="H39"/>
      <c r="I39" s="67"/>
      <c r="N39" s="20"/>
    </row>
    <row r="40" spans="1:16" x14ac:dyDescent="0.2">
      <c r="A40" s="13" t="s">
        <v>67</v>
      </c>
      <c r="B40"/>
      <c r="F40"/>
      <c r="G40"/>
      <c r="H40" s="62"/>
      <c r="I40" s="67"/>
      <c r="N40" s="20"/>
    </row>
    <row r="41" spans="1:16" x14ac:dyDescent="0.2">
      <c r="A41" s="13" t="s">
        <v>42</v>
      </c>
      <c r="B41" s="62"/>
      <c r="C41" s="62"/>
      <c r="D41" s="62"/>
      <c r="E41" s="62"/>
      <c r="F41" s="62">
        <v>-50000</v>
      </c>
      <c r="G41" s="62"/>
      <c r="H41" s="62"/>
      <c r="I41" s="67"/>
      <c r="N41" s="20"/>
    </row>
    <row r="42" spans="1:16" x14ac:dyDescent="0.2">
      <c r="A42" s="13" t="s">
        <v>43</v>
      </c>
      <c r="B42" s="62"/>
      <c r="C42" s="62"/>
      <c r="D42" s="62"/>
      <c r="E42" s="62"/>
      <c r="F42" s="62">
        <v>-4000</v>
      </c>
      <c r="G42" s="62"/>
      <c r="H42" s="62"/>
      <c r="I42" s="67"/>
      <c r="N42" s="20"/>
    </row>
    <row r="43" spans="1:16" x14ac:dyDescent="0.2">
      <c r="A43" s="13" t="s">
        <v>52</v>
      </c>
      <c r="B43" s="62"/>
      <c r="C43" s="62"/>
      <c r="D43" s="62"/>
      <c r="E43" s="62"/>
      <c r="F43" s="62"/>
      <c r="G43" s="62">
        <v>-300</v>
      </c>
      <c r="H43" s="62"/>
      <c r="I43" s="62"/>
      <c r="N43" s="20"/>
    </row>
    <row r="44" spans="1:16" x14ac:dyDescent="0.2">
      <c r="A44" s="13" t="s">
        <v>44</v>
      </c>
      <c r="B44" s="62"/>
      <c r="C44" s="62"/>
      <c r="D44" s="62"/>
      <c r="E44" s="62"/>
      <c r="F44" s="62">
        <v>-500</v>
      </c>
      <c r="G44" s="62"/>
      <c r="H44" s="62"/>
      <c r="I44" s="67"/>
      <c r="N44" s="20"/>
    </row>
    <row r="45" spans="1:16" x14ac:dyDescent="0.2">
      <c r="A45" s="13" t="s">
        <v>109</v>
      </c>
      <c r="B45"/>
      <c r="F45"/>
      <c r="G45"/>
      <c r="H45"/>
      <c r="I45" s="67"/>
      <c r="N45" s="20"/>
    </row>
    <row r="46" spans="1:16" x14ac:dyDescent="0.2">
      <c r="A46" s="13" t="s">
        <v>46</v>
      </c>
      <c r="B46" s="54">
        <f>+F34</f>
        <v>12297.841400000012</v>
      </c>
      <c r="F46" s="54" t="s">
        <v>113</v>
      </c>
      <c r="G46" s="54">
        <v>4000</v>
      </c>
      <c r="H46" s="54">
        <v>4000</v>
      </c>
      <c r="I46" s="54">
        <v>4000</v>
      </c>
      <c r="J46" s="54">
        <v>4000</v>
      </c>
      <c r="N46" s="20"/>
    </row>
    <row r="47" spans="1:16" x14ac:dyDescent="0.2">
      <c r="A47" s="4" t="s">
        <v>72</v>
      </c>
      <c r="B47" s="68">
        <f>SUM(B41:B46)</f>
        <v>12297.841400000012</v>
      </c>
      <c r="F47" s="68">
        <f>SUM(F41:F46)</f>
        <v>-54500</v>
      </c>
      <c r="G47" s="68">
        <f>SUM(G41:G46)</f>
        <v>3700</v>
      </c>
      <c r="H47" s="57">
        <f>SUM(H40:H46)</f>
        <v>4000</v>
      </c>
      <c r="I47" s="57">
        <f>SUM(I41:I46)</f>
        <v>4000</v>
      </c>
      <c r="J47" s="57">
        <f>SUM(J41:J46)</f>
        <v>4000</v>
      </c>
      <c r="N47" s="20"/>
    </row>
    <row r="48" spans="1:16" x14ac:dyDescent="0.2">
      <c r="B48"/>
      <c r="F48"/>
      <c r="G48"/>
      <c r="H48"/>
      <c r="J48" s="67"/>
      <c r="N48" s="20"/>
    </row>
    <row r="49" spans="1:20" x14ac:dyDescent="0.2">
      <c r="A49" s="4" t="s">
        <v>57</v>
      </c>
      <c r="B49" s="57">
        <f>+B39+B47</f>
        <v>42368.841400000012</v>
      </c>
      <c r="F49" s="68">
        <f>+B49+F47</f>
        <v>-12131.158599999988</v>
      </c>
      <c r="G49" s="68">
        <f>+F49+G47</f>
        <v>-8431.1585999999879</v>
      </c>
      <c r="H49" s="68">
        <f t="shared" ref="H49:J49" si="6">+G49+H47</f>
        <v>-4431.1585999999879</v>
      </c>
      <c r="I49" s="68">
        <f t="shared" si="6"/>
        <v>-431.15859999998793</v>
      </c>
      <c r="J49" s="68">
        <f t="shared" si="6"/>
        <v>3568.8414000000121</v>
      </c>
      <c r="N49" s="30"/>
      <c r="O49" s="30"/>
      <c r="P49" s="30"/>
      <c r="Q49" s="8"/>
      <c r="R49" s="19"/>
      <c r="S49" s="40"/>
      <c r="T49" s="44"/>
    </row>
    <row r="50" spans="1:20" x14ac:dyDescent="0.2">
      <c r="B50"/>
      <c r="F50"/>
      <c r="G50"/>
      <c r="H50"/>
      <c r="L50" s="13"/>
      <c r="M50" s="30"/>
      <c r="N50" s="30"/>
      <c r="O50" s="30"/>
      <c r="P50" s="8"/>
      <c r="Q50" s="19"/>
      <c r="R50" s="40"/>
      <c r="S50" s="44"/>
    </row>
    <row r="51" spans="1:20" hidden="1" x14ac:dyDescent="0.2">
      <c r="A51" s="13"/>
      <c r="B51"/>
      <c r="D51" s="4"/>
      <c r="E51" s="4"/>
      <c r="F51" s="43"/>
      <c r="G51" s="43"/>
      <c r="H51"/>
      <c r="L51" s="13"/>
      <c r="M51" s="30"/>
      <c r="N51" s="30"/>
      <c r="O51" s="30"/>
      <c r="P51" s="19"/>
      <c r="Q51" s="59"/>
      <c r="R51" s="43"/>
      <c r="S51" s="44"/>
    </row>
    <row r="52" spans="1:20" hidden="1" x14ac:dyDescent="0.2">
      <c r="B52" s="4" t="s">
        <v>53</v>
      </c>
      <c r="D52" s="44" t="s">
        <v>10</v>
      </c>
      <c r="E52" s="44"/>
      <c r="F52" s="58">
        <v>0.14280000000000001</v>
      </c>
      <c r="G52" s="5">
        <f>-$G$49*F52</f>
        <v>1203.9694480799983</v>
      </c>
      <c r="H52"/>
    </row>
    <row r="53" spans="1:20" hidden="1" x14ac:dyDescent="0.2">
      <c r="B53"/>
      <c r="C53" s="4"/>
      <c r="D53" s="44" t="s">
        <v>11</v>
      </c>
      <c r="E53" s="44"/>
      <c r="F53" s="58">
        <v>0.14280000000000001</v>
      </c>
      <c r="G53" s="5">
        <f t="shared" ref="G53:G59" si="7">-$G$49*F53</f>
        <v>1203.9694480799983</v>
      </c>
      <c r="H53"/>
    </row>
    <row r="54" spans="1:20" hidden="1" x14ac:dyDescent="0.2">
      <c r="B54"/>
      <c r="C54" s="4"/>
      <c r="D54" s="44" t="s">
        <v>12</v>
      </c>
      <c r="E54" s="44"/>
      <c r="F54" s="58">
        <v>0.123</v>
      </c>
      <c r="G54" s="5">
        <f t="shared" si="7"/>
        <v>1037.0325077999985</v>
      </c>
      <c r="H54"/>
    </row>
    <row r="55" spans="1:20" hidden="1" x14ac:dyDescent="0.2">
      <c r="B55"/>
      <c r="C55" s="4"/>
      <c r="D55" s="44" t="s">
        <v>13</v>
      </c>
      <c r="E55" s="44"/>
      <c r="F55" s="58">
        <v>9.1399999999999995E-2</v>
      </c>
      <c r="G55" s="5">
        <f t="shared" si="7"/>
        <v>770.60789603999888</v>
      </c>
      <c r="H55"/>
    </row>
    <row r="56" spans="1:20" hidden="1" x14ac:dyDescent="0.2">
      <c r="B56"/>
      <c r="C56" s="4"/>
      <c r="D56" s="44" t="s">
        <v>14</v>
      </c>
      <c r="E56" s="44"/>
      <c r="F56" s="58">
        <v>9.1399999999999995E-2</v>
      </c>
      <c r="G56" s="5">
        <f t="shared" si="7"/>
        <v>770.60789603999888</v>
      </c>
      <c r="H56"/>
    </row>
    <row r="57" spans="1:20" hidden="1" x14ac:dyDescent="0.2">
      <c r="B57"/>
      <c r="C57" s="4"/>
      <c r="D57" s="44" t="s">
        <v>15</v>
      </c>
      <c r="E57" s="44"/>
      <c r="F57" s="58">
        <v>0.123</v>
      </c>
      <c r="G57" s="5">
        <f t="shared" si="7"/>
        <v>1037.0325077999985</v>
      </c>
      <c r="H57"/>
    </row>
    <row r="58" spans="1:20" hidden="1" x14ac:dyDescent="0.2">
      <c r="B58"/>
      <c r="C58" s="4"/>
      <c r="D58" s="44" t="s">
        <v>16</v>
      </c>
      <c r="E58" s="44"/>
      <c r="F58" s="58">
        <v>0.14280000000000001</v>
      </c>
      <c r="G58" s="5">
        <f t="shared" si="7"/>
        <v>1203.9694480799983</v>
      </c>
      <c r="H58"/>
    </row>
    <row r="59" spans="1:20" hidden="1" x14ac:dyDescent="0.2">
      <c r="B59"/>
      <c r="C59" s="4"/>
      <c r="D59" s="44" t="s">
        <v>17</v>
      </c>
      <c r="E59" s="44"/>
      <c r="F59" s="58">
        <v>0.14280000000000001</v>
      </c>
      <c r="G59" s="5">
        <f t="shared" si="7"/>
        <v>1203.9694480799983</v>
      </c>
      <c r="H59"/>
    </row>
    <row r="60" spans="1:20" hidden="1" x14ac:dyDescent="0.2">
      <c r="B60"/>
      <c r="C60" s="4"/>
      <c r="D60" s="43"/>
      <c r="E60" s="43"/>
      <c r="F60" s="43"/>
      <c r="G60" s="73">
        <f>SUM(G52:G59)</f>
        <v>8431.1585999999879</v>
      </c>
      <c r="H60"/>
    </row>
    <row r="61" spans="1:20" hidden="1" x14ac:dyDescent="0.2">
      <c r="B61"/>
      <c r="D61" s="4"/>
      <c r="E61" s="4"/>
      <c r="F61" s="43"/>
      <c r="G61" s="43"/>
      <c r="H61"/>
    </row>
    <row r="62" spans="1:20" ht="15" x14ac:dyDescent="0.35">
      <c r="A62" s="4" t="s">
        <v>51</v>
      </c>
      <c r="B62" s="71">
        <v>4932</v>
      </c>
      <c r="D62" s="51"/>
      <c r="E62" s="51"/>
      <c r="F62" s="51"/>
      <c r="G62" s="51"/>
      <c r="H62" s="51"/>
      <c r="I62" s="51"/>
      <c r="M62" s="30"/>
      <c r="N62" s="30"/>
      <c r="O62" s="30"/>
      <c r="Q62" s="4"/>
      <c r="R62" s="40"/>
      <c r="S62" s="40"/>
    </row>
    <row r="63" spans="1:20" x14ac:dyDescent="0.2">
      <c r="A63" s="13" t="s">
        <v>46</v>
      </c>
      <c r="B63">
        <v>500</v>
      </c>
      <c r="D63" s="69"/>
      <c r="E63" s="4"/>
      <c r="F63" s="69">
        <v>500</v>
      </c>
      <c r="G63" s="69">
        <v>500</v>
      </c>
      <c r="H63">
        <v>500</v>
      </c>
      <c r="I63">
        <v>500</v>
      </c>
      <c r="J63">
        <v>500</v>
      </c>
      <c r="L63" s="13"/>
      <c r="M63" s="30"/>
      <c r="N63" s="30"/>
      <c r="O63" s="30"/>
      <c r="P63" s="19"/>
      <c r="Q63" s="59"/>
      <c r="R63" s="40"/>
      <c r="S63" s="44"/>
      <c r="T63">
        <f>+Q63*1.15</f>
        <v>0</v>
      </c>
    </row>
    <row r="64" spans="1:20" x14ac:dyDescent="0.2">
      <c r="G64" s="43"/>
      <c r="H64" s="43"/>
    </row>
    <row r="65" spans="1:10" x14ac:dyDescent="0.2">
      <c r="A65" s="4" t="s">
        <v>57</v>
      </c>
      <c r="B65" s="57">
        <f>+B62+B63</f>
        <v>5432</v>
      </c>
      <c r="D65" s="57"/>
      <c r="E65" s="4"/>
      <c r="F65" s="57">
        <f>+B65+F63</f>
        <v>5932</v>
      </c>
      <c r="G65" s="57">
        <f>+F65+G63</f>
        <v>6432</v>
      </c>
      <c r="H65" s="57">
        <f t="shared" ref="H65:J65" si="8">+G65+H63</f>
        <v>6932</v>
      </c>
      <c r="I65" s="57">
        <f t="shared" si="8"/>
        <v>7432</v>
      </c>
      <c r="J65" s="57">
        <f t="shared" si="8"/>
        <v>7932</v>
      </c>
    </row>
    <row r="67" spans="1:10" x14ac:dyDescent="0.2">
      <c r="F67" s="8"/>
    </row>
  </sheetData>
  <mergeCells count="1">
    <mergeCell ref="G2:H2"/>
  </mergeCells>
  <pageMargins left="0.23622047244094491" right="0.23622047244094491" top="0.74803149606299213" bottom="0.74803149606299213" header="0.31496062992125984" footer="0.31496062992125984"/>
  <pageSetup paperSize="9" scale="44" orientation="portrait" horizontalDpi="4294967293" verticalDpi="0" r:id="rId1"/>
  <headerFooter alignWithMargins="0"/>
  <rowBreaks count="1" manualBreakCount="1">
    <brk id="3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25"/>
  <sheetViews>
    <sheetView tabSelected="1" workbookViewId="0">
      <selection activeCell="B8" sqref="B8"/>
    </sheetView>
  </sheetViews>
  <sheetFormatPr defaultColWidth="9.140625" defaultRowHeight="18" x14ac:dyDescent="0.25"/>
  <cols>
    <col min="1" max="1" width="13.5703125" style="74" customWidth="1"/>
    <col min="2" max="2" width="39.28515625" style="74" customWidth="1"/>
    <col min="3" max="3" width="19" style="75" bestFit="1" customWidth="1"/>
    <col min="4" max="4" width="3.85546875" style="75" customWidth="1"/>
    <col min="5" max="6" width="17.140625" style="75" bestFit="1" customWidth="1"/>
    <col min="7" max="7" width="7" style="74" bestFit="1" customWidth="1"/>
    <col min="8" max="8" width="17.140625" style="75" bestFit="1" customWidth="1"/>
    <col min="9" max="9" width="14" style="74" bestFit="1" customWidth="1"/>
    <col min="10" max="10" width="8.5703125" style="74" customWidth="1"/>
    <col min="11" max="11" width="15.5703125" style="74" bestFit="1" customWidth="1"/>
    <col min="12" max="12" width="9.7109375" style="74" bestFit="1" customWidth="1"/>
    <col min="13" max="16384" width="9.140625" style="74"/>
  </cols>
  <sheetData>
    <row r="1" spans="1:12" x14ac:dyDescent="0.25">
      <c r="C1" s="75" t="s">
        <v>81</v>
      </c>
      <c r="E1" s="75" t="s">
        <v>18</v>
      </c>
      <c r="F1" s="76" t="s">
        <v>24</v>
      </c>
      <c r="H1" s="77" t="s">
        <v>34</v>
      </c>
      <c r="I1" s="77" t="s">
        <v>24</v>
      </c>
      <c r="K1" s="74" t="s">
        <v>36</v>
      </c>
      <c r="L1" s="74" t="s">
        <v>58</v>
      </c>
    </row>
    <row r="2" spans="1:12" x14ac:dyDescent="0.25">
      <c r="A2" s="74" t="s">
        <v>21</v>
      </c>
      <c r="F2" s="76"/>
      <c r="H2" s="77" t="s">
        <v>35</v>
      </c>
    </row>
    <row r="3" spans="1:12" x14ac:dyDescent="0.25">
      <c r="A3" s="74" t="s">
        <v>10</v>
      </c>
      <c r="B3" s="74" t="s">
        <v>118</v>
      </c>
      <c r="C3" s="79">
        <f>+'Budget 2026'!H6</f>
        <v>7271.8319300000003</v>
      </c>
      <c r="E3" s="75">
        <f>+F3-C3</f>
        <v>1090.7747894999993</v>
      </c>
      <c r="F3" s="76">
        <f>+C3*1.15</f>
        <v>8362.6067194999996</v>
      </c>
      <c r="H3" s="77">
        <v>0</v>
      </c>
      <c r="I3" s="77">
        <v>0</v>
      </c>
      <c r="K3" s="78">
        <f>+I3+F3</f>
        <v>8362.6067194999996</v>
      </c>
    </row>
    <row r="4" spans="1:12" x14ac:dyDescent="0.25">
      <c r="A4" s="74" t="s">
        <v>11</v>
      </c>
      <c r="B4" s="74" t="s">
        <v>119</v>
      </c>
      <c r="C4" s="79">
        <f>+'Budget 2026'!H7</f>
        <v>7271.8319300000003</v>
      </c>
      <c r="D4" s="77"/>
      <c r="E4" s="77">
        <f t="shared" ref="E4:E10" si="0">+F4-C4</f>
        <v>1090.7747894999993</v>
      </c>
      <c r="F4" s="79">
        <f t="shared" ref="F4:F10" si="1">+C4*1.15</f>
        <v>8362.6067194999996</v>
      </c>
      <c r="H4" s="83"/>
      <c r="I4" s="77">
        <f>H4*1.15</f>
        <v>0</v>
      </c>
      <c r="K4" s="78">
        <f>+I4+F4</f>
        <v>8362.6067194999996</v>
      </c>
    </row>
    <row r="5" spans="1:12" x14ac:dyDescent="0.25">
      <c r="A5" s="74" t="s">
        <v>12</v>
      </c>
      <c r="B5" s="74" t="s">
        <v>119</v>
      </c>
      <c r="C5" s="79">
        <f>+'Budget 2026'!H8</f>
        <v>6263.5525699999998</v>
      </c>
      <c r="E5" s="75">
        <f t="shared" si="0"/>
        <v>939.53288549999979</v>
      </c>
      <c r="F5" s="76">
        <f t="shared" si="1"/>
        <v>7203.0854554999996</v>
      </c>
      <c r="H5" s="83"/>
      <c r="I5" s="77">
        <f t="shared" ref="I5:I10" si="2">H5*1.15</f>
        <v>0</v>
      </c>
      <c r="K5" s="78">
        <f>+I5+F5</f>
        <v>7203.0854554999996</v>
      </c>
    </row>
    <row r="6" spans="1:12" x14ac:dyDescent="0.25">
      <c r="A6" s="74" t="s">
        <v>13</v>
      </c>
      <c r="B6" s="74" t="s">
        <v>120</v>
      </c>
      <c r="C6" s="79">
        <f>+'Budget 2026'!H9</f>
        <v>4654.3753300000008</v>
      </c>
      <c r="E6" s="75">
        <f t="shared" si="0"/>
        <v>698.15629949999948</v>
      </c>
      <c r="F6" s="76">
        <f t="shared" si="1"/>
        <v>5352.5316295000002</v>
      </c>
      <c r="H6" s="83"/>
      <c r="I6" s="77">
        <v>0</v>
      </c>
      <c r="K6" s="78">
        <f t="shared" ref="K6:K10" si="3">+I6+F6</f>
        <v>5352.5316295000002</v>
      </c>
    </row>
    <row r="7" spans="1:12" x14ac:dyDescent="0.25">
      <c r="A7" s="74" t="s">
        <v>14</v>
      </c>
      <c r="B7" s="74" t="s">
        <v>121</v>
      </c>
      <c r="C7" s="79">
        <f>+'Budget 2026'!H10</f>
        <v>4654.3753300000008</v>
      </c>
      <c r="E7" s="75">
        <f t="shared" si="0"/>
        <v>698.15629949999948</v>
      </c>
      <c r="F7" s="76">
        <f t="shared" si="1"/>
        <v>5352.5316295000002</v>
      </c>
      <c r="H7" s="83"/>
      <c r="I7" s="77">
        <v>0</v>
      </c>
      <c r="K7" s="78">
        <f t="shared" si="3"/>
        <v>5352.5316295000002</v>
      </c>
    </row>
    <row r="8" spans="1:12" x14ac:dyDescent="0.25">
      <c r="A8" s="74" t="s">
        <v>15</v>
      </c>
      <c r="B8" s="98" t="s">
        <v>117</v>
      </c>
      <c r="C8" s="79">
        <f>+'Budget 2026'!H11</f>
        <v>6263.5525699999998</v>
      </c>
      <c r="E8" s="75">
        <f t="shared" si="0"/>
        <v>939.53288549999979</v>
      </c>
      <c r="F8" s="76">
        <f t="shared" si="1"/>
        <v>7203.0854554999996</v>
      </c>
      <c r="H8" s="83"/>
      <c r="I8" s="77">
        <v>0</v>
      </c>
      <c r="K8" s="78">
        <f t="shared" si="3"/>
        <v>7203.0854554999996</v>
      </c>
    </row>
    <row r="9" spans="1:12" x14ac:dyDescent="0.25">
      <c r="A9" s="74" t="s">
        <v>16</v>
      </c>
      <c r="B9" s="74" t="s">
        <v>122</v>
      </c>
      <c r="C9" s="79">
        <f>+'Budget 2026'!H12</f>
        <v>7271.8319300000003</v>
      </c>
      <c r="E9" s="75">
        <f t="shared" si="0"/>
        <v>1090.7747894999993</v>
      </c>
      <c r="F9" s="76">
        <f t="shared" si="1"/>
        <v>8362.6067194999996</v>
      </c>
      <c r="H9" s="83"/>
      <c r="I9" s="77">
        <f t="shared" si="2"/>
        <v>0</v>
      </c>
      <c r="K9" s="78">
        <f t="shared" si="3"/>
        <v>8362.6067194999996</v>
      </c>
    </row>
    <row r="10" spans="1:12" x14ac:dyDescent="0.25">
      <c r="A10" s="74" t="s">
        <v>17</v>
      </c>
      <c r="B10" s="74" t="s">
        <v>123</v>
      </c>
      <c r="C10" s="79">
        <f>+'Budget 2026'!H13</f>
        <v>7271.8319300000003</v>
      </c>
      <c r="E10" s="75">
        <f t="shared" si="0"/>
        <v>1090.7747894999993</v>
      </c>
      <c r="F10" s="76">
        <f t="shared" si="1"/>
        <v>8362.6067194999996</v>
      </c>
      <c r="H10" s="83"/>
      <c r="I10" s="77">
        <f t="shared" si="2"/>
        <v>0</v>
      </c>
      <c r="K10" s="78">
        <f t="shared" si="3"/>
        <v>8362.6067194999996</v>
      </c>
    </row>
    <row r="11" spans="1:12" x14ac:dyDescent="0.25">
      <c r="C11" s="75">
        <v>0</v>
      </c>
      <c r="F11" s="76"/>
      <c r="H11" s="77"/>
    </row>
    <row r="12" spans="1:12" x14ac:dyDescent="0.25">
      <c r="F12" s="76"/>
      <c r="H12" s="77" t="s">
        <v>116</v>
      </c>
    </row>
    <row r="13" spans="1:12" x14ac:dyDescent="0.25">
      <c r="A13" s="74" t="s">
        <v>19</v>
      </c>
      <c r="C13" s="75">
        <f>SUM(C3:C12)</f>
        <v>50923.183520000006</v>
      </c>
      <c r="E13" s="75">
        <f t="shared" ref="E13:I13" si="4">SUM(E3:E12)</f>
        <v>7638.4775279999958</v>
      </c>
      <c r="F13" s="76">
        <f t="shared" si="4"/>
        <v>58561.661047999994</v>
      </c>
      <c r="G13" s="76">
        <f t="shared" si="4"/>
        <v>0</v>
      </c>
      <c r="H13" s="79">
        <f>SUM(H3:H12)</f>
        <v>0</v>
      </c>
      <c r="I13" s="79">
        <f t="shared" si="4"/>
        <v>0</v>
      </c>
      <c r="K13" s="78">
        <f>SUM(K3:K12)</f>
        <v>58561.661047999994</v>
      </c>
    </row>
    <row r="14" spans="1:12" x14ac:dyDescent="0.25">
      <c r="K14" s="78">
        <f>+K13-I13-F13</f>
        <v>0</v>
      </c>
    </row>
    <row r="16" spans="1:12" x14ac:dyDescent="0.25">
      <c r="I16" s="78"/>
    </row>
    <row r="25" spans="4:4" x14ac:dyDescent="0.25">
      <c r="D25" s="75">
        <f t="shared" ref="D25" si="5">SUM(D22:D24)</f>
        <v>0</v>
      </c>
    </row>
  </sheetData>
  <phoneticPr fontId="3" type="noConversion"/>
  <pageMargins left="0.75" right="0.75" top="1" bottom="1" header="0.5" footer="0.5"/>
  <pageSetup scale="67" orientation="landscape" horizontalDpi="4294967293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C61D05D3D3D844BDE187CD150336FF" ma:contentTypeVersion="14" ma:contentTypeDescription="Create a new document." ma:contentTypeScope="" ma:versionID="3dc783a72e07b9cbd62620d73f97e63b">
  <xsd:schema xmlns:xsd="http://www.w3.org/2001/XMLSchema" xmlns:xs="http://www.w3.org/2001/XMLSchema" xmlns:p="http://schemas.microsoft.com/office/2006/metadata/properties" xmlns:ns2="1ce5b78d-b69c-4628-bdd7-16d065538d14" xmlns:ns3="b2660a6f-3e01-4372-9159-21136adddbe9" targetNamespace="http://schemas.microsoft.com/office/2006/metadata/properties" ma:root="true" ma:fieldsID="156089a815e3e1f2afcf0f7c1c32a16f" ns2:_="" ns3:_="">
    <xsd:import namespace="1ce5b78d-b69c-4628-bdd7-16d065538d14"/>
    <xsd:import namespace="b2660a6f-3e01-4372-9159-21136adddb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e5b78d-b69c-4628-bdd7-16d065538d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b8c7c0c-1bdb-4df5-9b89-b8eb35630e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660a6f-3e01-4372-9159-21136adddbe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09e5487-d05f-4c82-8d06-ee79e425fbec}" ma:internalName="TaxCatchAll" ma:showField="CatchAllData" ma:web="b2660a6f-3e01-4372-9159-21136adddb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ce5b78d-b69c-4628-bdd7-16d065538d14">
      <Terms xmlns="http://schemas.microsoft.com/office/infopath/2007/PartnerControls"/>
    </lcf76f155ced4ddcb4097134ff3c332f>
    <TaxCatchAll xmlns="b2660a6f-3e01-4372-9159-21136adddbe9" xsi:nil="true"/>
  </documentManagement>
</p:properties>
</file>

<file path=customXml/itemProps1.xml><?xml version="1.0" encoding="utf-8"?>
<ds:datastoreItem xmlns:ds="http://schemas.openxmlformats.org/officeDocument/2006/customXml" ds:itemID="{EB78F7B3-5FFF-4447-9EED-3F1603431606}"/>
</file>

<file path=customXml/itemProps2.xml><?xml version="1.0" encoding="utf-8"?>
<ds:datastoreItem xmlns:ds="http://schemas.openxmlformats.org/officeDocument/2006/customXml" ds:itemID="{0D53A83B-2831-4022-9A56-C43531E54242}"/>
</file>

<file path=customXml/itemProps3.xml><?xml version="1.0" encoding="utf-8"?>
<ds:datastoreItem xmlns:ds="http://schemas.openxmlformats.org/officeDocument/2006/customXml" ds:itemID="{5288477A-4BFB-41C6-A939-31AACB1E71D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Financial Statement YE 2025</vt:lpstr>
      <vt:lpstr>Budget 2026</vt:lpstr>
      <vt:lpstr>invoices</vt:lpstr>
    </vt:vector>
  </TitlesOfParts>
  <Company>Gillian Properties Limited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gillian</dc:creator>
  <cp:lastModifiedBy>Gillian Gartly</cp:lastModifiedBy>
  <cp:lastPrinted>2026-02-12T02:24:54Z</cp:lastPrinted>
  <dcterms:created xsi:type="dcterms:W3CDTF">2012-12-23T03:21:53Z</dcterms:created>
  <dcterms:modified xsi:type="dcterms:W3CDTF">2026-02-12T02:25:03Z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0x0101008EC61D05D3D3D844BDE187CD150336FF</vt:lpwstr>
  </property>
</Properties>
</file>